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<sst xmlns="http://schemas.openxmlformats.org/spreadsheetml/2006/main" count="489" uniqueCount="160">
  <si>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</si>
  <si>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</si>
  <si>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</si>
  <si>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</si>
  <si>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</si>
  <si>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</si>
  <si>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</si>
  <si>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</si>
  <si>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</si>
  <si>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</si>
  <si>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</si>
  <si>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</si>
  <si>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</si>
  <si>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</si>
  <si>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</si>
  <si>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</si>
  <si>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</si>
  <si>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</si>
  <si>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</si>
  <si>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</si>
  <si>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</si>
  <si>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</si>
  <si>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</si>
  <si>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</si>
  <si>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</si>
  <si>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</si>
  <si>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</si>
  <si>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</si>
  <si>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</si>
  <si>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</si>
  <si>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</si>
  <si>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</si>
  <si>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</si>
  <si>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</si>
  <si>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</si>
  <si>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</si>
  <si>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</si>
  <si>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</si>
  <si>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</si>
  <si>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</si>
  <si>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</si>
  <si>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</si>
  <si>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</si>
  <si>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</si>
  <si>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</si>
  <si>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</si>
  <si>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</si>
  <si>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</si>
  <si>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</si>
  <si>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</si>
  <si>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</si>
  <si>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</si>
  <si>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</si>
  <si>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</si>
  <si>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</si>
  <si>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</si>
  <si>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</si>
  <si>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</si>
  <si>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</si>
  <si>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</si>
  <si>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</si>
  <si>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</si>
  <si>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</si>
  <si>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</si>
  <si>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</si>
  <si>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</si>
  <si>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</si>
  <si>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</si>
  <si>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</si>
  <si>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</si>
  <si>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</si>
  <si>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</si>
  <si>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</si>
  <si>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</si>
  <si>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</si>
  <si>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</si>
  <si>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</si>
  <si>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</si>
  <si>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</si>
  <si>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</si>
  <si>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</si>
  <si>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</si>
  <si>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</si>
  <si>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</si>
  <si>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</si>
  <si>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</si>
  <si>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</si>
  <si>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</si>
  <si>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</si>
  <si>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</si>
  <si>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</si>
  <si>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</si>
  <si>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</si>
  <si>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</si>
  <si>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</si>
  <si>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- за выдачу разрешения на установку рекламной конструкции (150)</t>
  </si>
  <si>
    <t>Белокалитвинского района</t>
  </si>
  <si>
    <t>Откл. к пл. кварт.</t>
  </si>
  <si>
    <t>% исп.</t>
  </si>
  <si>
    <t>год. плана</t>
  </si>
  <si>
    <t>2020 год</t>
  </si>
  <si>
    <t>Транспорный налог</t>
  </si>
  <si>
    <t xml:space="preserve">   2020 год</t>
  </si>
  <si>
    <t>Транспортный налог</t>
  </si>
  <si>
    <t>Штрафы</t>
  </si>
  <si>
    <t>Прочие неналоговые доходы</t>
  </si>
  <si>
    <t>Субсидии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</si>
  <si>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</si>
  <si>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</si>
  <si>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</si>
  <si>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</si>
  <si>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</si>
  <si>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</si>
  <si>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</si>
  <si>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</si>
  <si>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</si>
  <si>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</si>
  <si>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</si>
  <si>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</si>
  <si>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</si>
  <si>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</si>
  <si>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</si>
  <si>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</si>
  <si>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</si>
  <si>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</si>
  <si>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</si>
  <si>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</si>
  <si>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</si>
  <si>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</si>
  <si>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</si>
  <si>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</si>
  <si>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</si>
  <si>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</si>
  <si>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</si>
  <si>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</si>
  <si>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</si>
  <si>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</si>
  <si>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</si>
  <si>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</si>
  <si>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</si>
  <si>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</si>
  <si>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</si>
  <si>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</si>
  <si>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</si>
  <si>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</si>
  <si>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</si>
  <si>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</si>
  <si>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</si>
  <si>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</si>
  <si>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</si>
  <si>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</si>
  <si>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</si>
  <si>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</si>
  <si>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Сервитут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</si>
  <si>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</si>
  <si>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Исполнение  бюджета Белокалитвинского района по доходам на 01.08.2020 года </t>
  </si>
  <si>
    <t xml:space="preserve">Информация о выполнении плановых назначений по доходам за январь-июль 2020 года по поселениям </t>
  </si>
  <si>
    <t>по состоянию на 01.08.2020 года</t>
  </si>
  <si>
    <t>9  месяцев 2020 года</t>
  </si>
  <si>
    <t>по состоянию на 01.08.2020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</si>
</sst>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72" fontId="2" fillId="38" borderId="12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15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 applyProtection="1">
      <alignment horizontal="right"/>
      <protection/>
    </xf>
    <xf numFmtId="172" fontId="2" fillId="38" borderId="14" xfId="0" applyNumberFormat="1" applyFont="1" applyFill="1" applyBorder="1" applyAlignment="1" applyProtection="1">
      <alignment horizontal="right"/>
      <protection/>
    </xf>
    <xf numFmtId="172" fontId="2" fillId="38" borderId="12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>
      <alignment horizontal="right"/>
    </xf>
    <xf numFmtId="172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72" fontId="21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9" borderId="27" xfId="0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39" borderId="10" xfId="0" applyNumberFormat="1" applyFont="1" applyFill="1" applyBorder="1" applyAlignment="1">
      <alignment/>
    </xf>
    <xf numFmtId="172" fontId="11" fillId="39" borderId="27" xfId="0" applyNumberFormat="1" applyFont="1" applyFill="1" applyBorder="1" applyAlignment="1">
      <alignment/>
    </xf>
    <xf numFmtId="172" fontId="11" fillId="39" borderId="14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9" borderId="27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9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9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9" borderId="27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9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9" borderId="27" xfId="0" applyNumberFormat="1" applyFont="1" applyFill="1" applyBorder="1" applyAlignment="1">
      <alignment wrapText="1"/>
    </xf>
    <xf numFmtId="172" fontId="0" fillId="39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2" xfId="0" applyFont="1" applyFill="1" applyBorder="1" applyAlignment="1">
      <alignment/>
    </xf>
    <xf numFmtId="172" fontId="11" fillId="39" borderId="29" xfId="0" applyNumberFormat="1" applyFont="1" applyFill="1" applyBorder="1" applyAlignment="1">
      <alignment/>
    </xf>
    <xf numFmtId="172" fontId="11" fillId="39" borderId="17" xfId="0" applyNumberFormat="1" applyFont="1" applyFill="1" applyBorder="1" applyAlignment="1">
      <alignment/>
    </xf>
    <xf numFmtId="172" fontId="11" fillId="39" borderId="30" xfId="0" applyNumberFormat="1" applyFont="1" applyFill="1" applyBorder="1" applyAlignment="1">
      <alignment/>
    </xf>
    <xf numFmtId="0" fontId="11" fillId="39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8" fillId="0" borderId="32" xfId="0" applyFont="1" applyFill="1" applyBorder="1" applyAlignment="1">
      <alignment horizontal="center" wrapText="1"/>
    </xf>
    <xf numFmtId="0" fontId="0" fillId="39" borderId="33" xfId="0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8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8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15" fillId="10" borderId="10" xfId="0" applyNumberFormat="1" applyFont="1" applyFill="1" applyBorder="1" applyAlignment="1">
      <alignment/>
    </xf>
    <xf numFmtId="172" fontId="0" fillId="4" borderId="39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28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3" fillId="36" borderId="13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27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2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0" fillId="39" borderId="14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10" fillId="0" borderId="4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8" fillId="36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right"/>
    </xf>
    <xf numFmtId="172" fontId="8" fillId="39" borderId="12" xfId="0" applyNumberFormat="1" applyFont="1" applyFill="1" applyBorder="1" applyAlignment="1" applyProtection="1">
      <alignment horizontal="right"/>
      <protection/>
    </xf>
    <xf numFmtId="172" fontId="8" fillId="39" borderId="10" xfId="0" applyNumberFormat="1" applyFont="1" applyFill="1" applyBorder="1" applyAlignment="1" applyProtection="1">
      <alignment horizontal="right"/>
      <protection/>
    </xf>
    <xf numFmtId="172" fontId="8" fillId="39" borderId="15" xfId="0" applyNumberFormat="1" applyFont="1" applyFill="1" applyBorder="1" applyAlignment="1" applyProtection="1">
      <alignment horizontal="right"/>
      <protection/>
    </xf>
    <xf numFmtId="172" fontId="8" fillId="39" borderId="11" xfId="0" applyNumberFormat="1" applyFont="1" applyFill="1" applyBorder="1" applyAlignment="1" applyProtection="1">
      <alignment horizontal="right"/>
      <protection/>
    </xf>
    <xf numFmtId="172" fontId="8" fillId="39" borderId="38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9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27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0" fontId="9" fillId="0" borderId="14" xfId="0" applyFont="1" applyFill="1" applyBorder="1" applyAlignment="1">
      <alignment horizontal="right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5" fillId="40" borderId="14" xfId="0" applyFont="1" applyFill="1" applyBorder="1" applyAlignment="1">
      <alignment vertical="top" wrapText="1"/>
    </xf>
    <xf numFmtId="0" fontId="9" fillId="40" borderId="14" xfId="0" applyFont="1" applyFill="1" applyBorder="1" applyAlignment="1">
      <alignment horizontal="right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5" xfId="0" applyNumberFormat="1" applyFont="1" applyFill="1" applyBorder="1" applyAlignment="1" applyProtection="1">
      <alignment horizontal="right"/>
      <protection/>
    </xf>
    <xf numFmtId="172" fontId="9" fillId="40" borderId="27" xfId="0" applyNumberFormat="1" applyFont="1" applyFill="1" applyBorder="1" applyAlignment="1" applyProtection="1">
      <alignment horizontal="right"/>
      <protection/>
    </xf>
    <xf numFmtId="0" fontId="26" fillId="40" borderId="14" xfId="0" applyFont="1" applyFill="1" applyBorder="1" applyAlignment="1">
      <alignment horizontal="right"/>
    </xf>
    <xf numFmtId="0" fontId="27" fillId="40" borderId="14" xfId="0" applyFont="1" applyFill="1" applyBorder="1" applyAlignment="1">
      <alignment horizontal="left" vertical="top" wrapText="1"/>
    </xf>
    <xf numFmtId="173" fontId="9" fillId="40" borderId="12" xfId="0" applyNumberFormat="1" applyFont="1" applyFill="1" applyBorder="1" applyAlignment="1">
      <alignment horizontal="right"/>
    </xf>
    <xf numFmtId="0" fontId="28" fillId="40" borderId="14" xfId="0" applyFont="1" applyFill="1" applyBorder="1" applyAlignment="1">
      <alignment wrapText="1"/>
    </xf>
    <xf numFmtId="0" fontId="9" fillId="4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8" fillId="40" borderId="14" xfId="0" applyFont="1" applyFill="1" applyBorder="1" applyAlignment="1">
      <alignment wrapText="1"/>
    </xf>
    <xf numFmtId="0" fontId="0" fillId="40" borderId="14" xfId="0" applyFont="1" applyFill="1" applyBorder="1" applyAlignment="1">
      <alignment horizontal="center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4" xfId="0" applyNumberFormat="1" applyFont="1" applyFill="1" applyBorder="1" applyAlignment="1" applyProtection="1">
      <alignment horizontal="right"/>
      <protection/>
    </xf>
    <xf numFmtId="172" fontId="9" fillId="40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8" fillId="16" borderId="14" xfId="0" applyFont="1" applyFill="1" applyBorder="1" applyAlignment="1">
      <alignment horizontal="right"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4" xfId="0" applyNumberFormat="1" applyFont="1" applyBorder="1" applyAlignment="1">
      <alignment horizontal="right"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4" xfId="0" applyNumberFormat="1" applyFont="1" applyFill="1" applyBorder="1" applyAlignment="1">
      <alignment horizontal="right"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0" fillId="0" borderId="10" xfId="0" applyNumberFormat="1" applyFill="1" applyBorder="1" applyAlignment="1">
      <alignment/>
    </xf>
    <xf numFmtId="172" fontId="2" fillId="41" borderId="10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/>
    </xf>
    <xf numFmtId="0" fontId="23" fillId="7" borderId="10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35" borderId="34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7" borderId="47" xfId="0" applyFont="1" applyFill="1" applyBorder="1" applyAlignment="1">
      <alignment horizontal="center"/>
    </xf>
    <xf numFmtId="0" fontId="23" fillId="7" borderId="48" xfId="0" applyFont="1" applyFill="1" applyBorder="1" applyAlignment="1">
      <alignment horizontal="center"/>
    </xf>
    <xf numFmtId="0" fontId="23" fillId="35" borderId="46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50" xfId="0" applyFont="1" applyFill="1" applyBorder="1" applyAlignment="1">
      <alignment horizontal="center"/>
    </xf>
    <xf numFmtId="0" fontId="23" fillId="35" borderId="5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172" fontId="3" fillId="34" borderId="42" xfId="0" applyNumberFormat="1" applyFont="1" applyFill="1" applyBorder="1" applyAlignment="1" applyProtection="1">
      <alignment horizontal="center" vertical="center"/>
      <protection/>
    </xf>
    <xf numFmtId="172" fontId="3" fillId="34" borderId="44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7" borderId="52" xfId="0" applyFont="1" applyFill="1" applyBorder="1" applyAlignment="1">
      <alignment horizontal="center" vertical="center"/>
    </xf>
    <xf numFmtId="0" fontId="23" fillId="7" borderId="53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23" fillId="7" borderId="38" xfId="0" applyFont="1" applyFill="1" applyBorder="1" applyAlignment="1">
      <alignment horizontal="center"/>
    </xf>
    <xf numFmtId="172" fontId="3" fillId="34" borderId="34" xfId="0" applyNumberFormat="1" applyFont="1" applyFill="1" applyBorder="1" applyAlignment="1" applyProtection="1">
      <alignment horizontal="center" vertical="center"/>
      <protection/>
    </xf>
    <xf numFmtId="172" fontId="3" fillId="34" borderId="36" xfId="0" applyNumberFormat="1" applyFont="1" applyFill="1" applyBorder="1" applyAlignment="1" applyProtection="1">
      <alignment horizontal="center" vertical="center"/>
      <protection/>
    </xf>
    <xf numFmtId="0" fontId="23" fillId="35" borderId="38" xfId="0" applyFont="1" applyFill="1" applyBorder="1" applyAlignment="1">
      <alignment horizont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56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4" borderId="14" xfId="0" applyNumberFormat="1" applyFont="1" applyFill="1" applyBorder="1" applyAlignment="1" applyProtection="1">
      <alignment horizontal="right"/>
      <protection/>
    </xf>
    <xf numFmtId="172" fontId="45" fillId="0" borderId="10" xfId="0" applyNumberFormat="1" applyFont="1" applyBorder="1" applyAlignment="1" applyProtection="1">
      <alignment horizontal="right" vertical="center" wrapText="1"/>
      <protection/>
    </xf>
    <xf numFmtId="172" fontId="2" fillId="35" borderId="14" xfId="0" applyNumberFormat="1" applyFont="1" applyFill="1" applyBorder="1" applyAlignment="1" applyProtection="1">
      <alignment horizontal="right"/>
      <protection/>
    </xf>
    <xf numFmtId="49" fontId="46" fillId="0" borderId="14" xfId="0" applyNumberFormat="1" applyFont="1" applyBorder="1" applyAlignment="1">
      <alignment vertical="top" wrapText="1"/>
    </xf>
    <xf numFmtId="49" fontId="46" fillId="0" borderId="11" xfId="0" applyNumberFormat="1" applyFont="1" applyBorder="1" applyAlignment="1">
      <alignment vertical="top" wrapText="1"/>
    </xf>
    <xf numFmtId="0" fontId="8" fillId="36" borderId="56" xfId="0" applyFont="1" applyFill="1" applyBorder="1" applyAlignment="1">
      <alignment horizontal="center" wrapText="1"/>
    </xf>
    <xf numFmtId="0" fontId="8" fillId="36" borderId="31" xfId="0" applyFont="1" applyFill="1" applyBorder="1" applyAlignment="1">
      <alignment horizontal="center" wrapText="1"/>
    </xf>
    <xf numFmtId="0" fontId="8" fillId="36" borderId="59" xfId="0" applyFont="1" applyFill="1" applyBorder="1" applyAlignment="1">
      <alignment horizontal="center" wrapText="1"/>
    </xf>
    <xf numFmtId="0" fontId="8" fillId="36" borderId="6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2"/>
  <sheetViews>
    <sheetView showZeros="0" tabSelected="1" zoomScale="70" zoomScaleNormal="70" zoomScaleSheetLayoutView="55" zoomScalePageLayoutView="0" workbookViewId="0" topLeftCell="A1">
      <pane xSplit="1" ySplit="1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S35" sqref="AS35"/>
    </sheetView>
  </sheetViews>
  <sheetFormatPr defaultColWidth="9.00390625" defaultRowHeight="12.75"/>
  <cols>
    <col min="1" max="1" width="51.25390625" style="97" customWidth="1"/>
    <col min="2" max="2" width="13.875" style="46" customWidth="1"/>
    <col min="3" max="3" width="13.875" style="1" customWidth="1"/>
    <col min="4" max="4" width="14.00390625" style="46" customWidth="1"/>
    <col min="5" max="5" width="10.375" style="46" customWidth="1"/>
    <col min="6" max="7" width="13.00390625" style="46" hidden="1" customWidth="1"/>
    <col min="8" max="8" width="14.125" style="46" hidden="1" customWidth="1"/>
    <col min="9" max="9" width="8.875" style="46" hidden="1" customWidth="1"/>
    <col min="10" max="10" width="13.00390625" style="46" hidden="1" customWidth="1"/>
    <col min="11" max="11" width="12.75390625" style="46" hidden="1" customWidth="1"/>
    <col min="12" max="12" width="13.375" style="46" hidden="1" customWidth="1"/>
    <col min="13" max="13" width="11.25390625" style="46" hidden="1" customWidth="1"/>
    <col min="14" max="15" width="11.375" style="1" hidden="1" customWidth="1"/>
    <col min="16" max="16" width="12.25390625" style="1" hidden="1" customWidth="1"/>
    <col min="17" max="17" width="11.375" style="148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6" hidden="1" customWidth="1"/>
    <col min="27" max="27" width="13.375" style="46" hidden="1" customWidth="1"/>
    <col min="28" max="28" width="14.125" style="46" hidden="1" customWidth="1"/>
    <col min="29" max="29" width="11.125" style="46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2.375" style="1" hidden="1" customWidth="1"/>
    <col min="40" max="40" width="12.25390625" style="1" hidden="1" customWidth="1"/>
    <col min="41" max="41" width="11.00390625" style="1" hidden="1" customWidth="1"/>
    <col min="42" max="42" width="13.00390625" style="1" customWidth="1"/>
    <col min="43" max="43" width="14.25390625" style="1" customWidth="1"/>
    <col min="44" max="44" width="13.375" style="1" customWidth="1"/>
    <col min="45" max="45" width="11.875" style="1" customWidth="1"/>
    <col min="46" max="47" width="12.875" style="46" hidden="1" customWidth="1"/>
    <col min="48" max="48" width="13.25390625" style="46" hidden="1" customWidth="1"/>
    <col min="49" max="49" width="11.75390625" style="98" hidden="1" customWidth="1"/>
    <col min="50" max="50" width="11.375" style="1" customWidth="1"/>
    <col min="51" max="51" width="11.875" style="1" customWidth="1"/>
    <col min="52" max="52" width="12.875" style="1" customWidth="1"/>
    <col min="53" max="53" width="12.625" style="1" customWidth="1"/>
    <col min="54" max="54" width="11.00390625" style="1" hidden="1" customWidth="1"/>
    <col min="55" max="55" width="8.75390625" style="1" hidden="1" customWidth="1"/>
    <col min="56" max="56" width="12.25390625" style="1" hidden="1" customWidth="1"/>
    <col min="57" max="57" width="6.625" style="1" hidden="1" customWidth="1"/>
    <col min="58" max="58" width="12.00390625" style="1" hidden="1" customWidth="1"/>
    <col min="59" max="59" width="9.00390625" style="1" hidden="1" customWidth="1"/>
    <col min="60" max="60" width="12.625" style="1" hidden="1" customWidth="1"/>
    <col min="61" max="61" width="7.75390625" style="1" hidden="1" customWidth="1"/>
    <col min="62" max="62" width="13.75390625" style="1" hidden="1" customWidth="1"/>
    <col min="63" max="63" width="17.00390625" style="46" hidden="1" customWidth="1"/>
    <col min="64" max="64" width="13.875" style="46" hidden="1" customWidth="1"/>
    <col min="65" max="65" width="13.125" style="46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6" customWidth="1"/>
    <col min="80" max="81" width="9.125" style="46" customWidth="1"/>
    <col min="82" max="82" width="10.625" style="46" customWidth="1"/>
    <col min="83" max="83" width="12.75390625" style="1" hidden="1" customWidth="1"/>
    <col min="84" max="16384" width="9.125" style="46" customWidth="1"/>
  </cols>
  <sheetData>
    <row r="1" spans="1:49" s="1" customFormat="1" ht="42" customHeight="1" thickBot="1">
      <c r="A1" s="443" t="s">
        <v>155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V1" s="2"/>
      <c r="W1" s="2"/>
      <c r="X1" s="2"/>
      <c r="Y1" s="2"/>
      <c r="AW1" s="2"/>
    </row>
    <row r="2" spans="1:77" s="4" customFormat="1" ht="21" customHeight="1">
      <c r="A2" s="422" t="s">
        <v>83</v>
      </c>
      <c r="B2" s="424" t="s">
        <v>100</v>
      </c>
      <c r="C2" s="425"/>
      <c r="D2" s="425"/>
      <c r="E2" s="426"/>
      <c r="F2" s="427" t="s">
        <v>1</v>
      </c>
      <c r="G2" s="428"/>
      <c r="H2" s="428"/>
      <c r="I2" s="429"/>
      <c r="J2" s="430" t="s">
        <v>2</v>
      </c>
      <c r="K2" s="431"/>
      <c r="L2" s="431"/>
      <c r="M2" s="432"/>
      <c r="N2" s="414" t="s">
        <v>3</v>
      </c>
      <c r="O2" s="393"/>
      <c r="P2" s="393"/>
      <c r="Q2" s="393"/>
      <c r="R2" s="393" t="s">
        <v>4</v>
      </c>
      <c r="S2" s="393"/>
      <c r="T2" s="393"/>
      <c r="U2" s="393"/>
      <c r="V2" s="393" t="s">
        <v>5</v>
      </c>
      <c r="W2" s="393"/>
      <c r="X2" s="393"/>
      <c r="Y2" s="393"/>
      <c r="Z2" s="396" t="s">
        <v>6</v>
      </c>
      <c r="AA2" s="418"/>
      <c r="AB2" s="418"/>
      <c r="AC2" s="397"/>
      <c r="AD2" s="405" t="s">
        <v>80</v>
      </c>
      <c r="AE2" s="406"/>
      <c r="AF2" s="406"/>
      <c r="AG2" s="414"/>
      <c r="AH2" s="405" t="s">
        <v>7</v>
      </c>
      <c r="AI2" s="406"/>
      <c r="AJ2" s="406"/>
      <c r="AK2" s="414"/>
      <c r="AL2" s="393" t="s">
        <v>8</v>
      </c>
      <c r="AM2" s="393"/>
      <c r="AN2" s="393"/>
      <c r="AO2" s="393"/>
      <c r="AP2" s="415" t="s">
        <v>9</v>
      </c>
      <c r="AQ2" s="415"/>
      <c r="AR2" s="415"/>
      <c r="AS2" s="416"/>
      <c r="AT2" s="417" t="s">
        <v>10</v>
      </c>
      <c r="AU2" s="411"/>
      <c r="AV2" s="411"/>
      <c r="AW2" s="412"/>
      <c r="AX2" s="408" t="s">
        <v>11</v>
      </c>
      <c r="AY2" s="409"/>
      <c r="AZ2" s="409"/>
      <c r="BA2" s="410"/>
      <c r="BB2" s="408" t="s">
        <v>12</v>
      </c>
      <c r="BC2" s="409"/>
      <c r="BD2" s="409"/>
      <c r="BE2" s="410"/>
      <c r="BF2" s="409" t="s">
        <v>13</v>
      </c>
      <c r="BG2" s="409"/>
      <c r="BH2" s="409"/>
      <c r="BI2" s="410"/>
      <c r="BJ2" s="411" t="s">
        <v>14</v>
      </c>
      <c r="BK2" s="411"/>
      <c r="BL2" s="411"/>
      <c r="BM2" s="412"/>
      <c r="BN2" s="408" t="s">
        <v>81</v>
      </c>
      <c r="BO2" s="409"/>
      <c r="BP2" s="409"/>
      <c r="BQ2" s="409"/>
      <c r="BR2" s="402" t="s">
        <v>82</v>
      </c>
      <c r="BS2" s="402"/>
      <c r="BT2" s="402"/>
      <c r="BU2" s="402"/>
      <c r="BV2" s="413" t="s">
        <v>15</v>
      </c>
      <c r="BW2" s="402"/>
      <c r="BX2" s="402"/>
      <c r="BY2" s="402"/>
    </row>
    <row r="3" spans="1:83" s="4" customFormat="1" ht="19.5" customHeight="1">
      <c r="A3" s="423"/>
      <c r="B3" s="433" t="s">
        <v>16</v>
      </c>
      <c r="C3" s="387" t="s">
        <v>17</v>
      </c>
      <c r="D3" s="436" t="s">
        <v>18</v>
      </c>
      <c r="E3" s="437"/>
      <c r="F3" s="438" t="s">
        <v>16</v>
      </c>
      <c r="G3" s="398" t="s">
        <v>17</v>
      </c>
      <c r="H3" s="399" t="s">
        <v>18</v>
      </c>
      <c r="I3" s="400"/>
      <c r="J3" s="385" t="s">
        <v>16</v>
      </c>
      <c r="K3" s="386" t="s">
        <v>17</v>
      </c>
      <c r="L3" s="390" t="s">
        <v>18</v>
      </c>
      <c r="M3" s="391"/>
      <c r="N3" s="392" t="s">
        <v>16</v>
      </c>
      <c r="O3" s="387" t="s">
        <v>17</v>
      </c>
      <c r="P3" s="393" t="s">
        <v>18</v>
      </c>
      <c r="Q3" s="393"/>
      <c r="R3" s="387" t="s">
        <v>16</v>
      </c>
      <c r="S3" s="387" t="s">
        <v>17</v>
      </c>
      <c r="T3" s="393" t="s">
        <v>18</v>
      </c>
      <c r="U3" s="393"/>
      <c r="V3" s="387" t="s">
        <v>16</v>
      </c>
      <c r="W3" s="387" t="s">
        <v>17</v>
      </c>
      <c r="X3" s="393" t="s">
        <v>18</v>
      </c>
      <c r="Y3" s="393"/>
      <c r="Z3" s="394" t="s">
        <v>16</v>
      </c>
      <c r="AA3" s="394" t="s">
        <v>17</v>
      </c>
      <c r="AB3" s="396" t="s">
        <v>18</v>
      </c>
      <c r="AC3" s="397"/>
      <c r="AD3" s="403" t="s">
        <v>16</v>
      </c>
      <c r="AE3" s="403" t="s">
        <v>17</v>
      </c>
      <c r="AF3" s="405" t="s">
        <v>18</v>
      </c>
      <c r="AG3" s="414"/>
      <c r="AH3" s="403" t="s">
        <v>16</v>
      </c>
      <c r="AI3" s="403" t="s">
        <v>17</v>
      </c>
      <c r="AJ3" s="405" t="s">
        <v>18</v>
      </c>
      <c r="AK3" s="414"/>
      <c r="AL3" s="387" t="s">
        <v>16</v>
      </c>
      <c r="AM3" s="387" t="s">
        <v>17</v>
      </c>
      <c r="AN3" s="393" t="s">
        <v>18</v>
      </c>
      <c r="AO3" s="393"/>
      <c r="AP3" s="444" t="s">
        <v>16</v>
      </c>
      <c r="AQ3" s="446" t="s">
        <v>17</v>
      </c>
      <c r="AR3" s="429" t="s">
        <v>18</v>
      </c>
      <c r="AS3" s="448"/>
      <c r="AT3" s="388" t="s">
        <v>16</v>
      </c>
      <c r="AU3" s="394" t="s">
        <v>17</v>
      </c>
      <c r="AV3" s="396" t="s">
        <v>18</v>
      </c>
      <c r="AW3" s="451"/>
      <c r="AX3" s="420" t="s">
        <v>16</v>
      </c>
      <c r="AY3" s="403" t="s">
        <v>17</v>
      </c>
      <c r="AZ3" s="405" t="s">
        <v>18</v>
      </c>
      <c r="BA3" s="419"/>
      <c r="BB3" s="420" t="s">
        <v>16</v>
      </c>
      <c r="BC3" s="403" t="s">
        <v>17</v>
      </c>
      <c r="BD3" s="405" t="s">
        <v>18</v>
      </c>
      <c r="BE3" s="419"/>
      <c r="BF3" s="439" t="s">
        <v>16</v>
      </c>
      <c r="BG3" s="403" t="s">
        <v>17</v>
      </c>
      <c r="BH3" s="405" t="s">
        <v>18</v>
      </c>
      <c r="BI3" s="419"/>
      <c r="BJ3" s="441" t="s">
        <v>16</v>
      </c>
      <c r="BK3" s="449" t="s">
        <v>17</v>
      </c>
      <c r="BL3" s="396" t="s">
        <v>18</v>
      </c>
      <c r="BM3" s="451"/>
      <c r="BN3" s="420" t="s">
        <v>16</v>
      </c>
      <c r="BO3" s="403" t="s">
        <v>17</v>
      </c>
      <c r="BP3" s="405" t="s">
        <v>18</v>
      </c>
      <c r="BQ3" s="406"/>
      <c r="BR3" s="401" t="s">
        <v>16</v>
      </c>
      <c r="BS3" s="401" t="s">
        <v>17</v>
      </c>
      <c r="BT3" s="402" t="s">
        <v>18</v>
      </c>
      <c r="BU3" s="402"/>
      <c r="BV3" s="407" t="s">
        <v>16</v>
      </c>
      <c r="BW3" s="401" t="s">
        <v>17</v>
      </c>
      <c r="BX3" s="402" t="s">
        <v>18</v>
      </c>
      <c r="BY3" s="402"/>
      <c r="CE3" s="403"/>
    </row>
    <row r="4" spans="1:83" s="4" customFormat="1" ht="16.5" customHeight="1">
      <c r="A4" s="423"/>
      <c r="B4" s="434"/>
      <c r="C4" s="435"/>
      <c r="D4" s="149" t="s">
        <v>19</v>
      </c>
      <c r="E4" s="153" t="s">
        <v>20</v>
      </c>
      <c r="F4" s="438"/>
      <c r="G4" s="398"/>
      <c r="H4" s="484" t="s">
        <v>19</v>
      </c>
      <c r="I4" s="485" t="s">
        <v>20</v>
      </c>
      <c r="J4" s="385"/>
      <c r="K4" s="386"/>
      <c r="L4" s="151" t="s">
        <v>19</v>
      </c>
      <c r="M4" s="152" t="s">
        <v>20</v>
      </c>
      <c r="N4" s="392"/>
      <c r="O4" s="387"/>
      <c r="P4" s="149" t="s">
        <v>19</v>
      </c>
      <c r="Q4" s="154" t="s">
        <v>20</v>
      </c>
      <c r="R4" s="387"/>
      <c r="S4" s="387"/>
      <c r="T4" s="149" t="s">
        <v>19</v>
      </c>
      <c r="U4" s="3" t="s">
        <v>20</v>
      </c>
      <c r="V4" s="387"/>
      <c r="W4" s="387"/>
      <c r="X4" s="149" t="s">
        <v>19</v>
      </c>
      <c r="Y4" s="3" t="s">
        <v>20</v>
      </c>
      <c r="Z4" s="395"/>
      <c r="AA4" s="395"/>
      <c r="AB4" s="151" t="s">
        <v>19</v>
      </c>
      <c r="AC4" s="151" t="s">
        <v>20</v>
      </c>
      <c r="AD4" s="404"/>
      <c r="AE4" s="404"/>
      <c r="AF4" s="149" t="s">
        <v>19</v>
      </c>
      <c r="AG4" s="149" t="s">
        <v>20</v>
      </c>
      <c r="AH4" s="404"/>
      <c r="AI4" s="404"/>
      <c r="AJ4" s="149" t="s">
        <v>19</v>
      </c>
      <c r="AK4" s="149" t="s">
        <v>20</v>
      </c>
      <c r="AL4" s="387"/>
      <c r="AM4" s="387"/>
      <c r="AN4" s="149" t="s">
        <v>19</v>
      </c>
      <c r="AO4" s="149" t="s">
        <v>20</v>
      </c>
      <c r="AP4" s="445"/>
      <c r="AQ4" s="447"/>
      <c r="AR4" s="384" t="s">
        <v>19</v>
      </c>
      <c r="AS4" s="155" t="s">
        <v>20</v>
      </c>
      <c r="AT4" s="389"/>
      <c r="AU4" s="395"/>
      <c r="AV4" s="151" t="s">
        <v>19</v>
      </c>
      <c r="AW4" s="152" t="s">
        <v>20</v>
      </c>
      <c r="AX4" s="421"/>
      <c r="AY4" s="404"/>
      <c r="AZ4" s="149" t="s">
        <v>19</v>
      </c>
      <c r="BA4" s="149" t="s">
        <v>20</v>
      </c>
      <c r="BB4" s="440"/>
      <c r="BC4" s="404"/>
      <c r="BD4" s="149" t="s">
        <v>19</v>
      </c>
      <c r="BE4" s="153" t="s">
        <v>20</v>
      </c>
      <c r="BF4" s="440"/>
      <c r="BG4" s="404"/>
      <c r="BH4" s="149" t="s">
        <v>19</v>
      </c>
      <c r="BI4" s="153" t="s">
        <v>20</v>
      </c>
      <c r="BJ4" s="442"/>
      <c r="BK4" s="450"/>
      <c r="BL4" s="151" t="s">
        <v>19</v>
      </c>
      <c r="BM4" s="152" t="s">
        <v>20</v>
      </c>
      <c r="BN4" s="421"/>
      <c r="BO4" s="404"/>
      <c r="BP4" s="149" t="s">
        <v>19</v>
      </c>
      <c r="BQ4" s="150" t="s">
        <v>20</v>
      </c>
      <c r="BR4" s="401"/>
      <c r="BS4" s="401"/>
      <c r="BT4" s="3" t="s">
        <v>19</v>
      </c>
      <c r="BU4" s="3" t="s">
        <v>20</v>
      </c>
      <c r="BV4" s="407"/>
      <c r="BW4" s="401"/>
      <c r="BX4" s="3" t="s">
        <v>19</v>
      </c>
      <c r="BY4" s="3" t="s">
        <v>20</v>
      </c>
      <c r="CE4" s="404"/>
    </row>
    <row r="5" spans="1:83" s="20" customFormat="1" ht="18.75">
      <c r="A5" s="5" t="s">
        <v>83</v>
      </c>
      <c r="B5" s="6">
        <f>B6+B7+B8+B13+B22+B25+B33+B35+B37+B40+B41+B12</f>
        <v>532717.1000000001</v>
      </c>
      <c r="C5" s="7">
        <f>C6+C7+C8+C13+C22+C25+C33+C35+C37+C40+C41+C12</f>
        <v>267429.10000000003</v>
      </c>
      <c r="D5" s="8">
        <f aca="true" t="shared" si="0" ref="D5:D41">C5-B5</f>
        <v>-265288.00000000006</v>
      </c>
      <c r="E5" s="19">
        <f aca="true" t="shared" si="1" ref="E5:E40">C5/B5%</f>
        <v>50.20096032209215</v>
      </c>
      <c r="F5" s="9">
        <v>225660.6</v>
      </c>
      <c r="G5" s="10">
        <v>220972.5</v>
      </c>
      <c r="H5" s="10">
        <f aca="true" t="shared" si="2" ref="H5:H39">G5-F5</f>
        <v>-4688.100000000006</v>
      </c>
      <c r="I5" s="11">
        <f aca="true" t="shared" si="3" ref="I5:I12">G5/F5%</f>
        <v>97.9224995413466</v>
      </c>
      <c r="J5" s="12">
        <f>J6+J7+J8+J13+J22+J25+J33+J35+J37+J40+J41+J12</f>
        <v>105837.70000000001</v>
      </c>
      <c r="K5" s="12">
        <f>K6+K7+K8+K13+K22+K25+K33+K35+K37+K40+K41+K12</f>
        <v>116631.49999999999</v>
      </c>
      <c r="L5" s="486">
        <f aca="true" t="shared" si="4" ref="L5:L39">K5-J5</f>
        <v>10793.799999999974</v>
      </c>
      <c r="M5" s="487">
        <f aca="true" t="shared" si="5" ref="M5:M21">K5/J5%</f>
        <v>110.19844535548293</v>
      </c>
      <c r="N5" s="13">
        <f>N6+N7+N8+N13+N22+N25+N33+N35+N37+N40+N41+N12</f>
        <v>29393.600000000006</v>
      </c>
      <c r="O5" s="13">
        <f>O6+O7+O8+O13+O22+O25+O33+O35+O37+O40+O41+O12</f>
        <v>31418.699999999997</v>
      </c>
      <c r="P5" s="7">
        <f aca="true" t="shared" si="6" ref="P5:P22">O5-N5</f>
        <v>2025.0999999999913</v>
      </c>
      <c r="Q5" s="7">
        <f aca="true" t="shared" si="7" ref="Q5:Q32">O5/N5%</f>
        <v>106.88959501388055</v>
      </c>
      <c r="R5" s="13">
        <f>R6+R7+R8+R13+R22+R25+R33+R35+R37+R40+R41+R12</f>
        <v>40253.299999999996</v>
      </c>
      <c r="S5" s="13">
        <f>S6+S7+S8+S13+S22+S25+S33+S35+S37+S40+S41+S12</f>
        <v>39491.200000000004</v>
      </c>
      <c r="T5" s="7">
        <f>S5-R5</f>
        <v>-762.0999999999913</v>
      </c>
      <c r="U5" s="7">
        <f>S5/R5%</f>
        <v>98.1067390748088</v>
      </c>
      <c r="V5" s="13">
        <f>V6+V7+V8+V13+V22+V25+V33+V35+V37+V40+V41+V12</f>
        <v>36190.80000000001</v>
      </c>
      <c r="W5" s="13">
        <f>W6+W7+W8+W13+W22+W25+W33+W35+W37+W40+W41+W12</f>
        <v>45721.600000000006</v>
      </c>
      <c r="X5" s="7">
        <f aca="true" t="shared" si="8" ref="X5:X40">W5-V5</f>
        <v>9530.799999999996</v>
      </c>
      <c r="Y5" s="7">
        <f aca="true" t="shared" si="9" ref="Y5:Y32">W5/V5%</f>
        <v>126.33486963537692</v>
      </c>
      <c r="Z5" s="12">
        <f>Z6+Z7+Z8+Z13+Z22+Z25+Z33+Z35+Z37+Z40+Z41</f>
        <v>118401.59999999999</v>
      </c>
      <c r="AA5" s="12">
        <f>AA6+AA7+AA8+AA13+AA22+AA25+AA33+AA35+AA37+AA40+AA41</f>
        <v>103340.59999999999</v>
      </c>
      <c r="AB5" s="486">
        <f>AA5-Z5</f>
        <v>-15061</v>
      </c>
      <c r="AC5" s="486">
        <f>AA5/Z5%</f>
        <v>87.27973270631479</v>
      </c>
      <c r="AD5" s="13">
        <f>AD6+AD7+AD8+AD13+AD22+AD25+AD33+AD35+AD37+AD40+AD41</f>
        <v>40498.1</v>
      </c>
      <c r="AE5" s="13">
        <f>AE6+AE7+AE8+AE13+AE22+AE25+AE33+AE35+AE37+AE40+AE41+AE12</f>
        <v>36029.80000000001</v>
      </c>
      <c r="AF5" s="7">
        <f>AE5-AD5</f>
        <v>-4468.299999999988</v>
      </c>
      <c r="AG5" s="7">
        <f>AE5/AD5%</f>
        <v>88.96664287954252</v>
      </c>
      <c r="AH5" s="13">
        <f>AH6+AH7+AH8+AH13+AH22+AH25+AH33+AH35+AH37+AH40+AH41</f>
        <v>36210.799999999996</v>
      </c>
      <c r="AI5" s="13">
        <f>AI6+AI7+AI8+AI13+AI22+AI25+AI33+AI35+AI37+AI40+AI41+AI12</f>
        <v>33536</v>
      </c>
      <c r="AJ5" s="7">
        <f aca="true" t="shared" si="10" ref="AJ5:AJ40">AI5-AH5</f>
        <v>-2674.7999999999956</v>
      </c>
      <c r="AK5" s="7">
        <f>AI5/AH5%</f>
        <v>92.61325350447935</v>
      </c>
      <c r="AL5" s="13">
        <f>AL6+AL7+AL8+AL13+AL22+AL25+AL33+AL35+AL37+AL40+AL41</f>
        <v>41692.7</v>
      </c>
      <c r="AM5" s="13">
        <f>AM6+AM7+AM8+AM13+AM22+AM25+AM33+AM35+AM37+AM40+AM41+AM12</f>
        <v>34775.200000000004</v>
      </c>
      <c r="AN5" s="7">
        <f aca="true" t="shared" si="11" ref="AN5:AN40">AM5-AL5</f>
        <v>-6917.499999999993</v>
      </c>
      <c r="AO5" s="7">
        <f aca="true" t="shared" si="12" ref="AO5:AO34">AM5/AL5%</f>
        <v>83.40836645264041</v>
      </c>
      <c r="AP5" s="14">
        <f>J5+Z5+AT5</f>
        <v>347250.1</v>
      </c>
      <c r="AQ5" s="14">
        <f>K5+AA5+AU5</f>
        <v>266428.69999999995</v>
      </c>
      <c r="AR5" s="15">
        <f aca="true" t="shared" si="13" ref="AR5:AR39">AQ5-AP5</f>
        <v>-80821.40000000002</v>
      </c>
      <c r="AS5" s="16">
        <f aca="true" t="shared" si="14" ref="AS5:AS12">AQ5/AP5%</f>
        <v>76.72530547867372</v>
      </c>
      <c r="AT5" s="12">
        <f>AT6+AT7+AT8+AT13+AT22+AT25+AT33+AT35+AT37+AT40+AT41</f>
        <v>123010.80000000002</v>
      </c>
      <c r="AU5" s="12">
        <f>AU6+AU7+AU8+AU13+AU22+AU25+AU33+AU35+AU37+AU40+AU41+AU12</f>
        <v>46456.599999999984</v>
      </c>
      <c r="AV5" s="486">
        <f>AU5-AT5</f>
        <v>-76554.20000000004</v>
      </c>
      <c r="AW5" s="488">
        <f aca="true" t="shared" si="15" ref="AW5:AW16">AU5/AT5%</f>
        <v>37.766277432550616</v>
      </c>
      <c r="AX5" s="7">
        <f>AX6+AX7+AX8+AX13+AX22+AX25+AX33+AX35+AX37+AX40+AX41+AX12</f>
        <v>46038.19999999999</v>
      </c>
      <c r="AY5" s="7">
        <f>AY6+AY7+AY8+AY13+AY22+AY25+AY33+AY35+AY37+AY40+AY41+AY12</f>
        <v>46456.599999999984</v>
      </c>
      <c r="AZ5" s="7">
        <f>AY5-AX5</f>
        <v>418.3999999999942</v>
      </c>
      <c r="BA5" s="7">
        <f>AY5/AX5%</f>
        <v>100.90881050953338</v>
      </c>
      <c r="BB5" s="13">
        <f>BB6+BB7+BB8+BB13+BB22+BB25+BB33+BB35+BB37+BB40+BB41+BB12</f>
        <v>41329</v>
      </c>
      <c r="BC5" s="6">
        <f>BC6+BC7+BC8+BC13+BC22+BC25+BC33+BC35+BC37+BC40+BC41</f>
        <v>0</v>
      </c>
      <c r="BD5" s="7">
        <f aca="true" t="shared" si="16" ref="BD5:BD23">BC5-BB5</f>
        <v>-41329</v>
      </c>
      <c r="BE5" s="17">
        <f aca="true" t="shared" si="17" ref="BE5:BE12">BC5/BB5%</f>
        <v>0</v>
      </c>
      <c r="BF5" s="13">
        <f>BF6+BF7+BF8+BF13+BF22+BF25+BF33+BF35+BF37+BF40+BF41+BF12</f>
        <v>42998.899999999994</v>
      </c>
      <c r="BG5" s="13">
        <f>BG6+BG7+BG8+BG13+BG22+BG25+BG33+BG35+BG37+BG40+BG41</f>
        <v>0</v>
      </c>
      <c r="BH5" s="7">
        <f aca="true" t="shared" si="18" ref="BH5:BH23">BG5-BF5</f>
        <v>-42998.899999999994</v>
      </c>
      <c r="BI5" s="17">
        <f aca="true" t="shared" si="19" ref="BI5:BI12">BG5/BF5%</f>
        <v>0</v>
      </c>
      <c r="BJ5" s="12">
        <f>BJ6+BJ7+BJ8+BJ13+BJ22+BJ25+BJ33+BJ35+BJ37+BJ40+BJ41</f>
        <v>160582.5</v>
      </c>
      <c r="BK5" s="12">
        <f>BK6+BK7+BK8+BK13+BK22+BK25+BK33+BK35+BK37+BK40+BK41</f>
        <v>0</v>
      </c>
      <c r="BL5" s="12">
        <f>SUM(BL8,BL6,BL13,BL25,BL33,BL40,BL37)</f>
        <v>-151181.9</v>
      </c>
      <c r="BM5" s="487">
        <f>BK5/BJ5%</f>
        <v>0</v>
      </c>
      <c r="BN5" s="13">
        <f>BN6+BN7+BN8+BN13+BN22+BN25+BN33+BN35+BN37+BN40+BN41</f>
        <v>47152.5</v>
      </c>
      <c r="BO5" s="13">
        <f>BO6+BO7+BO8+BO13+BO22+BO25+BO33+BO35+BO37+BO40+BO41</f>
        <v>0</v>
      </c>
      <c r="BP5" s="7">
        <f aca="true" t="shared" si="20" ref="BP5:BP22">BO5-BN5</f>
        <v>-47152.5</v>
      </c>
      <c r="BQ5" s="156">
        <f>BO5/BN5%</f>
        <v>0</v>
      </c>
      <c r="BR5" s="7">
        <f>BR6+BR7+BR8+BR13+BR22+BR25+BR33+BR35+BR37+BR40+BR41</f>
        <v>48255.4</v>
      </c>
      <c r="BS5" s="7">
        <f>BS6+BS7+BS8+BS13+BS22+BS25+BS33+BS35+BS37+BS40+BS41</f>
        <v>0</v>
      </c>
      <c r="BT5" s="7">
        <f aca="true" t="shared" si="21" ref="BT5:BT22">BS5-BR5</f>
        <v>-48255.4</v>
      </c>
      <c r="BU5" s="7">
        <f aca="true" t="shared" si="22" ref="BU5:BU13">BS5/BR5%</f>
        <v>0</v>
      </c>
      <c r="BV5" s="13">
        <f>BV6+BV7+BV8+BV13+BV22+BV25+BV33+BV35+BV37+BV40+BV41</f>
        <v>65174.6</v>
      </c>
      <c r="BW5" s="13">
        <f>BW6+BW7+BW8+BW13+BW22+BW25+BW33+BW35+BW37+BW40+BW41</f>
        <v>0</v>
      </c>
      <c r="BX5" s="7">
        <f aca="true" t="shared" si="23" ref="BX5:BX22">BW5-BV5</f>
        <v>-65174.6</v>
      </c>
      <c r="BY5" s="7">
        <f aca="true" t="shared" si="24" ref="BY5:BY21">BW5/BV5%</f>
        <v>0</v>
      </c>
      <c r="BZ5" s="20" t="s">
        <v>83</v>
      </c>
      <c r="CE5" s="13">
        <f>CE6+CE7+CE8+CE13+CE22+CE25+CE33+CE35+CE37+CE40+CE41</f>
        <v>0</v>
      </c>
    </row>
    <row r="6" spans="1:83" s="20" customFormat="1" ht="18.75">
      <c r="A6" s="5" t="s">
        <v>21</v>
      </c>
      <c r="B6" s="21">
        <f aca="true" t="shared" si="25" ref="B6:C16">J6+Z6+AT6+BJ6</f>
        <v>403538.10000000003</v>
      </c>
      <c r="C6" s="22">
        <f t="shared" si="25"/>
        <v>193545</v>
      </c>
      <c r="D6" s="8">
        <f t="shared" si="0"/>
        <v>-209993.10000000003</v>
      </c>
      <c r="E6" s="19">
        <f t="shared" si="1"/>
        <v>47.96201399570449</v>
      </c>
      <c r="F6" s="9">
        <f aca="true" t="shared" si="26" ref="F6:G39">J6+Z6</f>
        <v>176237.90000000002</v>
      </c>
      <c r="G6" s="10">
        <f t="shared" si="26"/>
        <v>159387.8</v>
      </c>
      <c r="H6" s="10">
        <f t="shared" si="2"/>
        <v>-16850.100000000035</v>
      </c>
      <c r="I6" s="11">
        <f t="shared" si="3"/>
        <v>90.43900318830397</v>
      </c>
      <c r="J6" s="23">
        <f>N6+R6+V6</f>
        <v>79908.70000000001</v>
      </c>
      <c r="K6" s="486">
        <f>SUM(O6+S6+W6)</f>
        <v>81064.7</v>
      </c>
      <c r="L6" s="486">
        <f t="shared" si="4"/>
        <v>1155.9999999999854</v>
      </c>
      <c r="M6" s="487">
        <f t="shared" si="5"/>
        <v>101.44665099044282</v>
      </c>
      <c r="N6" s="24">
        <v>19227.9</v>
      </c>
      <c r="O6" s="22">
        <v>16045.6</v>
      </c>
      <c r="P6" s="7">
        <f t="shared" si="6"/>
        <v>-3182.300000000001</v>
      </c>
      <c r="Q6" s="7">
        <f t="shared" si="7"/>
        <v>83.44957067594484</v>
      </c>
      <c r="R6" s="146">
        <v>33328.9</v>
      </c>
      <c r="S6" s="22">
        <v>31692.5</v>
      </c>
      <c r="T6" s="7">
        <f aca="true" t="shared" si="27" ref="T6:T40">S6-R6</f>
        <v>-1636.4000000000015</v>
      </c>
      <c r="U6" s="7">
        <f>S6/R6%</f>
        <v>95.09014698954961</v>
      </c>
      <c r="V6" s="146">
        <v>27351.9</v>
      </c>
      <c r="W6" s="22">
        <v>33326.6</v>
      </c>
      <c r="X6" s="7">
        <f t="shared" si="8"/>
        <v>5974.699999999997</v>
      </c>
      <c r="Y6" s="7">
        <f t="shared" si="9"/>
        <v>121.843820721778</v>
      </c>
      <c r="Z6" s="486">
        <f>AD6+AH6+AL6</f>
        <v>96329.2</v>
      </c>
      <c r="AA6" s="486">
        <f aca="true" t="shared" si="28" ref="AA6:AA41">SUM(AE6+AI6+AM6)</f>
        <v>78323.1</v>
      </c>
      <c r="AB6" s="486">
        <f aca="true" t="shared" si="29" ref="AB6:AB41">AA6-Z6</f>
        <v>-18006.09999999999</v>
      </c>
      <c r="AC6" s="486">
        <f>AA6/Z6%</f>
        <v>81.30774469215982</v>
      </c>
      <c r="AD6" s="22">
        <v>29854.1</v>
      </c>
      <c r="AE6" s="22">
        <v>25892.4</v>
      </c>
      <c r="AF6" s="7">
        <f aca="true" t="shared" si="30" ref="AF6:AF40">AE6-AD6</f>
        <v>-3961.699999999997</v>
      </c>
      <c r="AG6" s="7">
        <f aca="true" t="shared" si="31" ref="AG6:AG13">AE6/AD6%</f>
        <v>86.7297959074298</v>
      </c>
      <c r="AH6" s="22">
        <v>31069.9</v>
      </c>
      <c r="AI6" s="22">
        <v>25744.9</v>
      </c>
      <c r="AJ6" s="7">
        <f t="shared" si="10"/>
        <v>-5325</v>
      </c>
      <c r="AK6" s="7">
        <f>AI6/AH6%</f>
        <v>82.86122581662639</v>
      </c>
      <c r="AL6" s="146">
        <v>35405.2</v>
      </c>
      <c r="AM6" s="22">
        <v>26685.8</v>
      </c>
      <c r="AN6" s="7">
        <f t="shared" si="11"/>
        <v>-8719.399999999998</v>
      </c>
      <c r="AO6" s="7">
        <f t="shared" si="12"/>
        <v>75.37254414605765</v>
      </c>
      <c r="AP6" s="14">
        <f>J6+Z6+AT6</f>
        <v>272753.80000000005</v>
      </c>
      <c r="AQ6" s="15">
        <f aca="true" t="shared" si="32" ref="AQ6:AQ24">K6+AA6+AU6</f>
        <v>193545</v>
      </c>
      <c r="AR6" s="15">
        <f t="shared" si="13"/>
        <v>-79208.80000000005</v>
      </c>
      <c r="AS6" s="16">
        <f t="shared" si="14"/>
        <v>70.95959799643487</v>
      </c>
      <c r="AT6" s="23">
        <f aca="true" t="shared" si="33" ref="AT6:AT18">AX6+BB6+BF6</f>
        <v>96515.9</v>
      </c>
      <c r="AU6" s="486">
        <f>SUM(AY6+BC6+BG6)</f>
        <v>34157.2</v>
      </c>
      <c r="AV6" s="486">
        <f>AU6-AT6</f>
        <v>-62358.7</v>
      </c>
      <c r="AW6" s="488">
        <f t="shared" si="15"/>
        <v>35.390231039652534</v>
      </c>
      <c r="AX6" s="22">
        <v>31480.6</v>
      </c>
      <c r="AY6" s="22">
        <v>34157.2</v>
      </c>
      <c r="AZ6" s="7">
        <f>AY6-AX6</f>
        <v>2676.5999999999985</v>
      </c>
      <c r="BA6" s="7">
        <f>AY6/AX6%</f>
        <v>108.5023792430894</v>
      </c>
      <c r="BB6" s="270">
        <v>32222.1</v>
      </c>
      <c r="BC6" s="22"/>
      <c r="BD6" s="7">
        <f t="shared" si="16"/>
        <v>-32222.1</v>
      </c>
      <c r="BE6" s="17">
        <f t="shared" si="17"/>
        <v>0</v>
      </c>
      <c r="BF6" s="24">
        <v>32813.2</v>
      </c>
      <c r="BG6" s="22"/>
      <c r="BH6" s="7">
        <f t="shared" si="18"/>
        <v>-32813.2</v>
      </c>
      <c r="BI6" s="17">
        <f t="shared" si="19"/>
        <v>0</v>
      </c>
      <c r="BJ6" s="12">
        <f aca="true" t="shared" si="34" ref="BJ6:BJ41">BN6+BR6+BV6</f>
        <v>130784.3</v>
      </c>
      <c r="BK6" s="12">
        <f aca="true" t="shared" si="35" ref="BK6:BK41">SUM(BO6+BS6+BW6)</f>
        <v>0</v>
      </c>
      <c r="BL6" s="486">
        <f aca="true" t="shared" si="36" ref="BL6:BL37">BK6-BJ6</f>
        <v>-130784.3</v>
      </c>
      <c r="BM6" s="487">
        <f aca="true" t="shared" si="37" ref="BM6:BM11">BK6/BJ6%</f>
        <v>0</v>
      </c>
      <c r="BN6" s="21">
        <v>35370.3</v>
      </c>
      <c r="BO6" s="22"/>
      <c r="BP6" s="7">
        <f t="shared" si="20"/>
        <v>-35370.3</v>
      </c>
      <c r="BQ6" s="18">
        <f aca="true" t="shared" si="38" ref="BQ6:BQ13">BO6/BN6%</f>
        <v>0</v>
      </c>
      <c r="BR6" s="22">
        <v>39541</v>
      </c>
      <c r="BS6" s="22"/>
      <c r="BT6" s="7">
        <f t="shared" si="21"/>
        <v>-39541</v>
      </c>
      <c r="BU6" s="7">
        <f t="shared" si="22"/>
        <v>0</v>
      </c>
      <c r="BV6" s="270">
        <v>55873</v>
      </c>
      <c r="BW6" s="22"/>
      <c r="BX6" s="7">
        <f t="shared" si="23"/>
        <v>-55873</v>
      </c>
      <c r="BY6" s="7">
        <f t="shared" si="24"/>
        <v>0</v>
      </c>
      <c r="CE6" s="22"/>
    </row>
    <row r="7" spans="1:83" s="20" customFormat="1" ht="18.75">
      <c r="A7" s="5" t="s">
        <v>22</v>
      </c>
      <c r="B7" s="21">
        <f t="shared" si="25"/>
        <v>36490.5</v>
      </c>
      <c r="C7" s="22">
        <f t="shared" si="25"/>
        <v>17618.100000000002</v>
      </c>
      <c r="D7" s="8">
        <f>C7-B7</f>
        <v>-18872.399999999998</v>
      </c>
      <c r="E7" s="19">
        <f>C7/B7%</f>
        <v>48.281333497759704</v>
      </c>
      <c r="F7" s="9">
        <f>J7+Z7</f>
        <v>17267.9</v>
      </c>
      <c r="G7" s="10">
        <f>K7+AA7</f>
        <v>14839.400000000001</v>
      </c>
      <c r="H7" s="10">
        <f>G7-F7</f>
        <v>-2428.5</v>
      </c>
      <c r="I7" s="11">
        <f>G7/F7%</f>
        <v>85.93633273299012</v>
      </c>
      <c r="J7" s="23">
        <f>N7+R7+V7</f>
        <v>8832.2</v>
      </c>
      <c r="K7" s="486">
        <f>O7+S7+W7</f>
        <v>7941.3</v>
      </c>
      <c r="L7" s="486">
        <f>K7-J7</f>
        <v>-890.9000000000005</v>
      </c>
      <c r="M7" s="487">
        <f>K7/J7%</f>
        <v>89.91304544734041</v>
      </c>
      <c r="N7" s="24">
        <v>3421.3</v>
      </c>
      <c r="O7" s="22">
        <v>2851.8</v>
      </c>
      <c r="P7" s="7">
        <f>O7-N7</f>
        <v>-569.5</v>
      </c>
      <c r="Q7" s="7">
        <f t="shared" si="7"/>
        <v>83.35428053663813</v>
      </c>
      <c r="R7" s="22">
        <v>2716.2</v>
      </c>
      <c r="S7" s="22">
        <v>2539.7</v>
      </c>
      <c r="T7" s="7">
        <f>S7-R7</f>
        <v>-176.5</v>
      </c>
      <c r="U7" s="7">
        <f>S7/R7%</f>
        <v>93.50195125543037</v>
      </c>
      <c r="V7" s="22">
        <v>2694.7</v>
      </c>
      <c r="W7" s="22">
        <v>2549.8</v>
      </c>
      <c r="X7" s="7">
        <f>W7-V7</f>
        <v>-144.89999999999964</v>
      </c>
      <c r="Y7" s="7">
        <f>W7/V7%</f>
        <v>94.62277804579361</v>
      </c>
      <c r="Z7" s="486">
        <f>AD7+AH7+AL7</f>
        <v>8435.7</v>
      </c>
      <c r="AA7" s="486">
        <f>SUM(AE7+AI7+AM7)</f>
        <v>6898.1</v>
      </c>
      <c r="AB7" s="486">
        <f>AA7-Z7</f>
        <v>-1537.6000000000004</v>
      </c>
      <c r="AC7" s="486">
        <f>AA7/Z7%</f>
        <v>81.77270410280119</v>
      </c>
      <c r="AD7" s="22">
        <v>2802.8</v>
      </c>
      <c r="AE7" s="22">
        <v>2765.9</v>
      </c>
      <c r="AF7" s="7">
        <f>AE7-AD7</f>
        <v>-36.90000000000009</v>
      </c>
      <c r="AG7" s="7">
        <f t="shared" si="31"/>
        <v>98.68345939774511</v>
      </c>
      <c r="AH7" s="22">
        <v>2944</v>
      </c>
      <c r="AI7" s="22">
        <v>1939.6</v>
      </c>
      <c r="AJ7" s="7">
        <f>AI7-AH7</f>
        <v>-1004.4000000000001</v>
      </c>
      <c r="AK7" s="7">
        <f>AI7/AH7%</f>
        <v>65.88315217391303</v>
      </c>
      <c r="AL7" s="146">
        <v>2688.9</v>
      </c>
      <c r="AM7" s="22">
        <v>2192.6</v>
      </c>
      <c r="AN7" s="7">
        <f>AM7-AL7</f>
        <v>-496.3000000000002</v>
      </c>
      <c r="AO7" s="7">
        <f>AM7/AL7%</f>
        <v>81.54263825356094</v>
      </c>
      <c r="AP7" s="14">
        <f>J7+Z7+AT7</f>
        <v>27089.9</v>
      </c>
      <c r="AQ7" s="15">
        <f>K7+AA7+AU7</f>
        <v>17618.100000000002</v>
      </c>
      <c r="AR7" s="15">
        <f>AQ7-AP7</f>
        <v>-9471.8</v>
      </c>
      <c r="AS7" s="16">
        <f>AQ7/AP7%</f>
        <v>65.0356775034238</v>
      </c>
      <c r="AT7" s="23">
        <f t="shared" si="33"/>
        <v>9822</v>
      </c>
      <c r="AU7" s="486">
        <f>SUM(AY7+BC7+BG7)</f>
        <v>2778.7</v>
      </c>
      <c r="AV7" s="486">
        <f>AU7-AT7</f>
        <v>-7043.3</v>
      </c>
      <c r="AW7" s="488">
        <f>AU7/AT7%</f>
        <v>28.290572184891058</v>
      </c>
      <c r="AX7" s="22">
        <v>3131.5</v>
      </c>
      <c r="AY7" s="489">
        <v>2778.7</v>
      </c>
      <c r="AZ7" s="7">
        <f>AY7-AX7</f>
        <v>-352.8000000000002</v>
      </c>
      <c r="BA7" s="7">
        <f>AY7/AX7%</f>
        <v>88.73383362605779</v>
      </c>
      <c r="BB7" s="270">
        <v>3213.5</v>
      </c>
      <c r="BC7" s="24"/>
      <c r="BD7" s="7">
        <f>BC7-BB7</f>
        <v>-3213.5</v>
      </c>
      <c r="BE7" s="17">
        <f>BC7/BB7%</f>
        <v>0</v>
      </c>
      <c r="BF7" s="24">
        <v>3477</v>
      </c>
      <c r="BG7" s="22"/>
      <c r="BH7" s="7">
        <f>BG7-BF7</f>
        <v>-3477</v>
      </c>
      <c r="BI7" s="17">
        <f>BG7/BF7%</f>
        <v>0</v>
      </c>
      <c r="BJ7" s="25">
        <f>BN7+BR7+BV7</f>
        <v>9400.6</v>
      </c>
      <c r="BK7" s="486">
        <f>SUM(BO7+BS7+BW7)</f>
        <v>0</v>
      </c>
      <c r="BL7" s="486">
        <f>BK7-BJ7</f>
        <v>-9400.6</v>
      </c>
      <c r="BM7" s="487">
        <f>BK7/BJ7%</f>
        <v>0</v>
      </c>
      <c r="BN7" s="24">
        <v>3223.3</v>
      </c>
      <c r="BO7" s="22"/>
      <c r="BP7" s="7">
        <f>BO7-BN7</f>
        <v>-3223.3</v>
      </c>
      <c r="BQ7" s="18">
        <f>BO7/BN7%</f>
        <v>0</v>
      </c>
      <c r="BR7" s="22">
        <v>3215.5</v>
      </c>
      <c r="BS7" s="22"/>
      <c r="BT7" s="7">
        <f>BS7-BR7</f>
        <v>-3215.5</v>
      </c>
      <c r="BU7" s="7">
        <f t="shared" si="22"/>
        <v>0</v>
      </c>
      <c r="BV7" s="270">
        <v>2961.8</v>
      </c>
      <c r="BW7" s="22"/>
      <c r="BX7" s="7">
        <f>BW7-BV7</f>
        <v>-2961.8</v>
      </c>
      <c r="BY7" s="7">
        <f>BW7/BV7%</f>
        <v>0</v>
      </c>
      <c r="CE7" s="22"/>
    </row>
    <row r="8" spans="1:83" s="20" customFormat="1" ht="18.75">
      <c r="A8" s="5" t="s">
        <v>23</v>
      </c>
      <c r="B8" s="21">
        <f t="shared" si="25"/>
        <v>22038.699999999997</v>
      </c>
      <c r="C8" s="22">
        <f t="shared" si="25"/>
        <v>17092</v>
      </c>
      <c r="D8" s="8">
        <f t="shared" si="0"/>
        <v>-4946.699999999997</v>
      </c>
      <c r="E8" s="19">
        <f t="shared" si="1"/>
        <v>77.55448370366675</v>
      </c>
      <c r="F8" s="9">
        <f t="shared" si="26"/>
        <v>10012.5</v>
      </c>
      <c r="G8" s="10">
        <f t="shared" si="26"/>
        <v>14147.3</v>
      </c>
      <c r="H8" s="10">
        <f t="shared" si="2"/>
        <v>4134.799999999999</v>
      </c>
      <c r="I8" s="11">
        <f t="shared" si="3"/>
        <v>141.296379525593</v>
      </c>
      <c r="J8" s="26">
        <f>SUM(J9:J11)</f>
        <v>6138.400000000001</v>
      </c>
      <c r="K8" s="486">
        <f>SUM(K9:K11)</f>
        <v>8216.4</v>
      </c>
      <c r="L8" s="486">
        <f t="shared" si="4"/>
        <v>2077.999999999999</v>
      </c>
      <c r="M8" s="487">
        <f t="shared" si="5"/>
        <v>133.85246969894433</v>
      </c>
      <c r="N8" s="22">
        <f>N9+N10+N11</f>
        <v>3568.1000000000004</v>
      </c>
      <c r="O8" s="22">
        <f>O9+O10+O11</f>
        <v>5568.099999999999</v>
      </c>
      <c r="P8" s="7">
        <f t="shared" si="6"/>
        <v>1999.999999999999</v>
      </c>
      <c r="Q8" s="7">
        <f t="shared" si="7"/>
        <v>156.0522406883215</v>
      </c>
      <c r="R8" s="22">
        <f>SUM(R9:R11)</f>
        <v>831.1</v>
      </c>
      <c r="S8" s="22">
        <f>SUM(S9:S11)</f>
        <v>616.0999999999999</v>
      </c>
      <c r="T8" s="7">
        <f t="shared" si="27"/>
        <v>-215.0000000000001</v>
      </c>
      <c r="U8" s="7">
        <f>S8/R8%</f>
        <v>74.1306701961256</v>
      </c>
      <c r="V8" s="22">
        <f>SUM(V9:V11)</f>
        <v>1739.2</v>
      </c>
      <c r="W8" s="22">
        <f>SUM(W9:W11)</f>
        <v>2032.1999999999998</v>
      </c>
      <c r="X8" s="7">
        <f t="shared" si="8"/>
        <v>292.9999999999998</v>
      </c>
      <c r="Y8" s="7">
        <f t="shared" si="9"/>
        <v>116.84682612695491</v>
      </c>
      <c r="Z8" s="486">
        <f aca="true" t="shared" si="39" ref="Z8:Z41">AD8+AH8+AL8</f>
        <v>3874.1000000000004</v>
      </c>
      <c r="AA8" s="486">
        <f t="shared" si="28"/>
        <v>5930.9</v>
      </c>
      <c r="AB8" s="486">
        <f t="shared" si="29"/>
        <v>2056.7999999999993</v>
      </c>
      <c r="AC8" s="486">
        <f>AA8/Z8%</f>
        <v>153.09104049972893</v>
      </c>
      <c r="AD8" s="22">
        <f>SUM(AD9:AD11)</f>
        <v>3760.6000000000004</v>
      </c>
      <c r="AE8" s="22">
        <f>SUM(AE9:AE11)</f>
        <v>4466.4</v>
      </c>
      <c r="AF8" s="22">
        <f>SUM(AF9:AF11)</f>
        <v>705.8000000000001</v>
      </c>
      <c r="AG8" s="7">
        <f t="shared" si="31"/>
        <v>118.76828165718236</v>
      </c>
      <c r="AH8" s="22">
        <f>SUM(AH9:AH11)</f>
        <v>19</v>
      </c>
      <c r="AI8" s="22">
        <f>SUM(AI9:AI11)</f>
        <v>972.5</v>
      </c>
      <c r="AJ8" s="22">
        <f>SUM(AJ9:AJ11)</f>
        <v>953.5</v>
      </c>
      <c r="AK8" s="7" t="s">
        <v>27</v>
      </c>
      <c r="AL8" s="146">
        <f>SUM(AL9:AL11)</f>
        <v>94.5</v>
      </c>
      <c r="AM8" s="22">
        <f>SUM(AM9:AM11)</f>
        <v>492</v>
      </c>
      <c r="AN8" s="7">
        <f t="shared" si="11"/>
        <v>397.5</v>
      </c>
      <c r="AO8" s="7" t="s">
        <v>27</v>
      </c>
      <c r="AP8" s="14">
        <f>J8+Z8+AT8</f>
        <v>15474.599999999999</v>
      </c>
      <c r="AQ8" s="15">
        <f t="shared" si="32"/>
        <v>17092</v>
      </c>
      <c r="AR8" s="15">
        <f t="shared" si="13"/>
        <v>1617.4000000000015</v>
      </c>
      <c r="AS8" s="16">
        <f t="shared" si="14"/>
        <v>110.45196644824424</v>
      </c>
      <c r="AT8" s="23">
        <f t="shared" si="33"/>
        <v>5462.099999999999</v>
      </c>
      <c r="AU8" s="23">
        <f>AY8+BC8+BG8</f>
        <v>2944.7000000000003</v>
      </c>
      <c r="AV8" s="486">
        <f aca="true" t="shared" si="40" ref="AV8:AV41">AU8-AT8</f>
        <v>-2517.399999999999</v>
      </c>
      <c r="AW8" s="488">
        <f t="shared" si="15"/>
        <v>53.91149924021897</v>
      </c>
      <c r="AX8" s="22">
        <f>AX9+AX10+AX11</f>
        <v>4011.7</v>
      </c>
      <c r="AY8" s="22">
        <f>SUM(AY9:AY11)</f>
        <v>2944.7000000000003</v>
      </c>
      <c r="AZ8" s="22">
        <f>SUM(AZ9:AZ11)</f>
        <v>-1067</v>
      </c>
      <c r="BA8" s="7">
        <f aca="true" t="shared" si="41" ref="BA8:BA29">AY8/AX8%</f>
        <v>73.40279681930355</v>
      </c>
      <c r="BB8" s="270">
        <f>SUM(BB9:BB11)</f>
        <v>890.5</v>
      </c>
      <c r="BC8" s="24">
        <f>SUM(BC9:BC11)</f>
        <v>0</v>
      </c>
      <c r="BD8" s="24">
        <f>SUM(BD9:BD11)</f>
        <v>-890.5</v>
      </c>
      <c r="BE8" s="17">
        <f t="shared" si="17"/>
        <v>0</v>
      </c>
      <c r="BF8" s="24">
        <f>SUM(BF9:BF11)</f>
        <v>559.9</v>
      </c>
      <c r="BG8" s="24">
        <f>SUM(BG9:BG11)</f>
        <v>0</v>
      </c>
      <c r="BH8" s="7">
        <f t="shared" si="18"/>
        <v>-559.9</v>
      </c>
      <c r="BI8" s="17">
        <f t="shared" si="19"/>
        <v>0</v>
      </c>
      <c r="BJ8" s="25">
        <f t="shared" si="34"/>
        <v>6564.099999999999</v>
      </c>
      <c r="BK8" s="486">
        <f t="shared" si="35"/>
        <v>0</v>
      </c>
      <c r="BL8" s="486">
        <f t="shared" si="36"/>
        <v>-6564.099999999999</v>
      </c>
      <c r="BM8" s="487">
        <f t="shared" si="37"/>
        <v>0</v>
      </c>
      <c r="BN8" s="24">
        <f>SUM(BN9:BN11)</f>
        <v>4471.9</v>
      </c>
      <c r="BO8" s="24">
        <f>SUM(BO9:BO11)</f>
        <v>0</v>
      </c>
      <c r="BP8" s="7">
        <f t="shared" si="20"/>
        <v>-4471.9</v>
      </c>
      <c r="BQ8" s="43">
        <f t="shared" si="38"/>
        <v>0</v>
      </c>
      <c r="BR8" s="22">
        <f>SUM(BR9:BR11)</f>
        <v>672.4999999999999</v>
      </c>
      <c r="BS8" s="22">
        <f>SUM(BS9:BS11)</f>
        <v>0</v>
      </c>
      <c r="BT8" s="7">
        <f t="shared" si="21"/>
        <v>-672.4999999999999</v>
      </c>
      <c r="BU8" s="7">
        <f t="shared" si="22"/>
        <v>0</v>
      </c>
      <c r="BV8" s="270">
        <f>SUM(BV9:BV11)</f>
        <v>1419.7</v>
      </c>
      <c r="BW8" s="22">
        <f>SUM(BW9:BW11)</f>
        <v>0</v>
      </c>
      <c r="BX8" s="7">
        <f t="shared" si="23"/>
        <v>-1419.7</v>
      </c>
      <c r="BY8" s="7">
        <f t="shared" si="24"/>
        <v>0</v>
      </c>
      <c r="CE8" s="24">
        <f>SUM(CE9:CE11)</f>
        <v>0</v>
      </c>
    </row>
    <row r="9" spans="1:83" ht="40.5" customHeight="1">
      <c r="A9" s="45" t="s">
        <v>25</v>
      </c>
      <c r="B9" s="29">
        <f t="shared" si="25"/>
        <v>17040.199999999997</v>
      </c>
      <c r="C9" s="30">
        <f t="shared" si="25"/>
        <v>12387.400000000001</v>
      </c>
      <c r="D9" s="32">
        <f t="shared" si="0"/>
        <v>-4652.799999999996</v>
      </c>
      <c r="E9" s="143">
        <f t="shared" si="1"/>
        <v>72.69515616013899</v>
      </c>
      <c r="F9" s="33">
        <f t="shared" si="26"/>
        <v>7134.9</v>
      </c>
      <c r="G9" s="34">
        <f t="shared" si="26"/>
        <v>10229.6</v>
      </c>
      <c r="H9" s="34">
        <f t="shared" si="2"/>
        <v>3094.7000000000007</v>
      </c>
      <c r="I9" s="35">
        <f t="shared" si="3"/>
        <v>143.3741187683079</v>
      </c>
      <c r="J9" s="36">
        <f aca="true" t="shared" si="42" ref="J9:J41">N9+R9+V9</f>
        <v>3670.3</v>
      </c>
      <c r="K9" s="37">
        <f aca="true" t="shared" si="43" ref="K9:K41">SUM(O9+S9+W9)</f>
        <v>5677</v>
      </c>
      <c r="L9" s="37">
        <f t="shared" si="4"/>
        <v>2006.6999999999998</v>
      </c>
      <c r="M9" s="42">
        <f t="shared" si="5"/>
        <v>154.6740048497398</v>
      </c>
      <c r="N9" s="38">
        <v>3300.8</v>
      </c>
      <c r="O9" s="30">
        <v>4924.7</v>
      </c>
      <c r="P9" s="31">
        <f t="shared" si="6"/>
        <v>1623.8999999999996</v>
      </c>
      <c r="Q9" s="31">
        <f t="shared" si="7"/>
        <v>149.19716432380028</v>
      </c>
      <c r="R9" s="30">
        <v>227.5</v>
      </c>
      <c r="S9" s="30">
        <v>188.5</v>
      </c>
      <c r="T9" s="31">
        <f t="shared" si="27"/>
        <v>-39</v>
      </c>
      <c r="U9" s="31">
        <f aca="true" t="shared" si="44" ref="U9:U38">S9/R9%</f>
        <v>82.85714285714286</v>
      </c>
      <c r="V9" s="30">
        <v>142</v>
      </c>
      <c r="W9" s="30">
        <v>563.8</v>
      </c>
      <c r="X9" s="31">
        <f t="shared" si="8"/>
        <v>421.79999999999995</v>
      </c>
      <c r="Y9" s="31" t="s">
        <v>94</v>
      </c>
      <c r="Z9" s="37">
        <f t="shared" si="39"/>
        <v>3464.6</v>
      </c>
      <c r="AA9" s="37">
        <f t="shared" si="28"/>
        <v>4552.6</v>
      </c>
      <c r="AB9" s="37">
        <f t="shared" si="29"/>
        <v>1088.0000000000005</v>
      </c>
      <c r="AC9" s="37">
        <f>AA9/Z9%</f>
        <v>131.40333660451424</v>
      </c>
      <c r="AD9" s="382">
        <f>3997.6-533</f>
        <v>3464.6</v>
      </c>
      <c r="AE9" s="30">
        <v>3464.6</v>
      </c>
      <c r="AF9" s="31">
        <f t="shared" si="30"/>
        <v>0</v>
      </c>
      <c r="AG9" s="31">
        <f t="shared" si="31"/>
        <v>100</v>
      </c>
      <c r="AH9" s="382">
        <f>236.3-236.3</f>
        <v>0</v>
      </c>
      <c r="AI9" s="30">
        <v>708.4</v>
      </c>
      <c r="AJ9" s="31">
        <f t="shared" si="10"/>
        <v>708.4</v>
      </c>
      <c r="AK9" s="31"/>
      <c r="AL9" s="382">
        <f>428.9-428.9</f>
        <v>0</v>
      </c>
      <c r="AM9" s="30">
        <v>379.6</v>
      </c>
      <c r="AN9" s="31">
        <f t="shared" si="11"/>
        <v>379.6</v>
      </c>
      <c r="AO9" s="31"/>
      <c r="AP9" s="39">
        <f aca="true" t="shared" si="45" ref="AP9:AQ34">J9+Z9+AT9</f>
        <v>11526.4</v>
      </c>
      <c r="AQ9" s="40">
        <f t="shared" si="32"/>
        <v>12387.400000000001</v>
      </c>
      <c r="AR9" s="40">
        <f t="shared" si="13"/>
        <v>861.0000000000018</v>
      </c>
      <c r="AS9" s="41">
        <f t="shared" si="14"/>
        <v>107.46980843975571</v>
      </c>
      <c r="AT9" s="36">
        <f t="shared" si="33"/>
        <v>4391.5</v>
      </c>
      <c r="AU9" s="37">
        <f aca="true" t="shared" si="46" ref="AU9:AU21">SUM(AY9+BC9+BG9)</f>
        <v>2157.8</v>
      </c>
      <c r="AV9" s="37">
        <f t="shared" si="40"/>
        <v>-2233.7</v>
      </c>
      <c r="AW9" s="490">
        <f t="shared" si="15"/>
        <v>49.13583058180576</v>
      </c>
      <c r="AX9" s="382">
        <f>4830.3-1622</f>
        <v>3208.3</v>
      </c>
      <c r="AY9" s="30">
        <v>2157.8</v>
      </c>
      <c r="AZ9" s="31">
        <f aca="true" t="shared" si="47" ref="AZ9:AZ40">AY9-AX9</f>
        <v>-1050.5</v>
      </c>
      <c r="BA9" s="31">
        <f t="shared" si="41"/>
        <v>67.25680266807967</v>
      </c>
      <c r="BB9" s="38">
        <v>755.3</v>
      </c>
      <c r="BC9" s="30"/>
      <c r="BD9" s="31">
        <f t="shared" si="16"/>
        <v>-755.3</v>
      </c>
      <c r="BE9" s="27">
        <f t="shared" si="17"/>
        <v>0</v>
      </c>
      <c r="BF9" s="38">
        <v>427.9</v>
      </c>
      <c r="BG9" s="30"/>
      <c r="BH9" s="31">
        <f t="shared" si="18"/>
        <v>-427.9</v>
      </c>
      <c r="BI9" s="27">
        <f t="shared" si="19"/>
        <v>0</v>
      </c>
      <c r="BJ9" s="44">
        <f t="shared" si="34"/>
        <v>5513.799999999999</v>
      </c>
      <c r="BK9" s="37">
        <f t="shared" si="35"/>
        <v>0</v>
      </c>
      <c r="BL9" s="37">
        <f t="shared" si="36"/>
        <v>-5513.799999999999</v>
      </c>
      <c r="BM9" s="42">
        <f t="shared" si="37"/>
        <v>0</v>
      </c>
      <c r="BN9" s="29">
        <v>4357.7</v>
      </c>
      <c r="BO9" s="30"/>
      <c r="BP9" s="7">
        <f t="shared" si="20"/>
        <v>-4357.7</v>
      </c>
      <c r="BQ9" s="43">
        <f t="shared" si="38"/>
        <v>0</v>
      </c>
      <c r="BR9" s="30">
        <v>511.9</v>
      </c>
      <c r="BS9" s="30"/>
      <c r="BT9" s="31">
        <f t="shared" si="21"/>
        <v>-511.9</v>
      </c>
      <c r="BU9" s="31">
        <f t="shared" si="22"/>
        <v>0</v>
      </c>
      <c r="BV9" s="272">
        <v>644.2</v>
      </c>
      <c r="BW9" s="30"/>
      <c r="BX9" s="31">
        <f t="shared" si="23"/>
        <v>-644.2</v>
      </c>
      <c r="BY9" s="31">
        <f t="shared" si="24"/>
        <v>0</v>
      </c>
      <c r="CE9" s="30"/>
    </row>
    <row r="10" spans="1:83" ht="20.25" customHeight="1">
      <c r="A10" s="47" t="s">
        <v>26</v>
      </c>
      <c r="B10" s="29">
        <f t="shared" si="25"/>
        <v>2936.2000000000003</v>
      </c>
      <c r="C10" s="30">
        <f t="shared" si="25"/>
        <v>2639.2</v>
      </c>
      <c r="D10" s="32">
        <f t="shared" si="0"/>
        <v>-297.00000000000045</v>
      </c>
      <c r="E10" s="143">
        <f t="shared" si="1"/>
        <v>89.88488522580205</v>
      </c>
      <c r="F10" s="33">
        <f t="shared" si="26"/>
        <v>1953.8000000000002</v>
      </c>
      <c r="G10" s="34">
        <f t="shared" si="26"/>
        <v>2008.7</v>
      </c>
      <c r="H10" s="34">
        <f t="shared" si="2"/>
        <v>54.899999999999864</v>
      </c>
      <c r="I10" s="35">
        <f t="shared" si="3"/>
        <v>102.80990889548572</v>
      </c>
      <c r="J10" s="36">
        <f t="shared" si="42"/>
        <v>1732.1000000000001</v>
      </c>
      <c r="K10" s="37">
        <f t="shared" si="43"/>
        <v>1500.4</v>
      </c>
      <c r="L10" s="37">
        <f t="shared" si="4"/>
        <v>-231.70000000000005</v>
      </c>
      <c r="M10" s="42">
        <f t="shared" si="5"/>
        <v>86.62317418162924</v>
      </c>
      <c r="N10" s="38">
        <v>0.5</v>
      </c>
      <c r="O10" s="30">
        <v>350</v>
      </c>
      <c r="P10" s="31">
        <f t="shared" si="6"/>
        <v>349.5</v>
      </c>
      <c r="Q10" s="31" t="s">
        <v>27</v>
      </c>
      <c r="R10" s="30">
        <v>579.2</v>
      </c>
      <c r="S10" s="30">
        <v>94.4</v>
      </c>
      <c r="T10" s="31">
        <f t="shared" si="27"/>
        <v>-484.80000000000007</v>
      </c>
      <c r="U10" s="31">
        <f t="shared" si="44"/>
        <v>16.29834254143646</v>
      </c>
      <c r="V10" s="30">
        <v>1152.4</v>
      </c>
      <c r="W10" s="30">
        <v>1056</v>
      </c>
      <c r="X10" s="31">
        <f t="shared" si="8"/>
        <v>-96.40000000000009</v>
      </c>
      <c r="Y10" s="31">
        <f t="shared" si="9"/>
        <v>91.63484901076015</v>
      </c>
      <c r="Z10" s="37">
        <f t="shared" si="39"/>
        <v>221.70000000000005</v>
      </c>
      <c r="AA10" s="37">
        <f t="shared" si="28"/>
        <v>508.29999999999995</v>
      </c>
      <c r="AB10" s="37">
        <f t="shared" si="29"/>
        <v>286.5999999999999</v>
      </c>
      <c r="AC10" s="37" t="s">
        <v>84</v>
      </c>
      <c r="AD10" s="30">
        <f>1861.4-1639.7</f>
        <v>221.70000000000005</v>
      </c>
      <c r="AE10" s="30">
        <v>221.7</v>
      </c>
      <c r="AF10" s="31">
        <f t="shared" si="30"/>
        <v>0</v>
      </c>
      <c r="AG10" s="31">
        <f t="shared" si="31"/>
        <v>99.99999999999997</v>
      </c>
      <c r="AH10" s="382">
        <f>99.2-99.2</f>
        <v>0</v>
      </c>
      <c r="AI10" s="30">
        <v>234.6</v>
      </c>
      <c r="AJ10" s="31">
        <f t="shared" si="10"/>
        <v>234.6</v>
      </c>
      <c r="AK10" s="31"/>
      <c r="AL10" s="382">
        <f>96.4-96.4</f>
        <v>0</v>
      </c>
      <c r="AM10" s="30">
        <v>52</v>
      </c>
      <c r="AN10" s="31">
        <f t="shared" si="11"/>
        <v>52</v>
      </c>
      <c r="AO10" s="31"/>
      <c r="AP10" s="39">
        <f t="shared" si="45"/>
        <v>2829.1000000000004</v>
      </c>
      <c r="AQ10" s="40">
        <f t="shared" si="32"/>
        <v>2639.2</v>
      </c>
      <c r="AR10" s="40">
        <f t="shared" si="13"/>
        <v>-189.90000000000055</v>
      </c>
      <c r="AS10" s="41">
        <f t="shared" si="14"/>
        <v>93.28761797037926</v>
      </c>
      <c r="AT10" s="36">
        <f t="shared" si="33"/>
        <v>875.3000000000001</v>
      </c>
      <c r="AU10" s="37">
        <f t="shared" si="46"/>
        <v>630.5</v>
      </c>
      <c r="AV10" s="37">
        <f t="shared" si="40"/>
        <v>-244.80000000000007</v>
      </c>
      <c r="AW10" s="490">
        <f t="shared" si="15"/>
        <v>72.03244601850794</v>
      </c>
      <c r="AX10" s="382">
        <f>1422.5-655.3</f>
        <v>767.2</v>
      </c>
      <c r="AY10" s="30">
        <v>630.5</v>
      </c>
      <c r="AZ10" s="31">
        <f t="shared" si="47"/>
        <v>-136.70000000000005</v>
      </c>
      <c r="BA10" s="31">
        <f t="shared" si="41"/>
        <v>82.18196037539103</v>
      </c>
      <c r="BB10" s="38">
        <v>97.2</v>
      </c>
      <c r="BC10" s="30"/>
      <c r="BD10" s="31">
        <f t="shared" si="16"/>
        <v>-97.2</v>
      </c>
      <c r="BE10" s="27">
        <f t="shared" si="17"/>
        <v>0</v>
      </c>
      <c r="BF10" s="38">
        <v>10.9</v>
      </c>
      <c r="BG10" s="30"/>
      <c r="BH10" s="31">
        <f t="shared" si="18"/>
        <v>-10.9</v>
      </c>
      <c r="BI10" s="27">
        <f t="shared" si="19"/>
        <v>0</v>
      </c>
      <c r="BJ10" s="44">
        <f t="shared" si="34"/>
        <v>107.1</v>
      </c>
      <c r="BK10" s="37">
        <f t="shared" si="35"/>
        <v>0</v>
      </c>
      <c r="BL10" s="37">
        <f t="shared" si="36"/>
        <v>-107.1</v>
      </c>
      <c r="BM10" s="42" t="s">
        <v>27</v>
      </c>
      <c r="BN10" s="29">
        <v>19.2</v>
      </c>
      <c r="BO10" s="30"/>
      <c r="BP10" s="7">
        <f t="shared" si="20"/>
        <v>-19.2</v>
      </c>
      <c r="BQ10" s="43" t="s">
        <v>27</v>
      </c>
      <c r="BR10" s="30">
        <v>87.3</v>
      </c>
      <c r="BS10" s="30"/>
      <c r="BT10" s="7">
        <f t="shared" si="21"/>
        <v>-87.3</v>
      </c>
      <c r="BU10" s="31" t="s">
        <v>27</v>
      </c>
      <c r="BV10" s="272">
        <v>0.6</v>
      </c>
      <c r="BW10" s="30"/>
      <c r="BX10" s="31">
        <f t="shared" si="23"/>
        <v>-0.6</v>
      </c>
      <c r="BY10" s="31">
        <f t="shared" si="24"/>
        <v>0</v>
      </c>
      <c r="CE10" s="30"/>
    </row>
    <row r="11" spans="1:83" ht="33" customHeight="1">
      <c r="A11" s="28" t="s">
        <v>28</v>
      </c>
      <c r="B11" s="29">
        <f t="shared" si="25"/>
        <v>2062.3</v>
      </c>
      <c r="C11" s="30">
        <f t="shared" si="25"/>
        <v>2065.4</v>
      </c>
      <c r="D11" s="32">
        <f t="shared" si="0"/>
        <v>3.099999999999909</v>
      </c>
      <c r="E11" s="143">
        <f t="shared" si="1"/>
        <v>100.15031760655579</v>
      </c>
      <c r="F11" s="33">
        <f t="shared" si="26"/>
        <v>923.8</v>
      </c>
      <c r="G11" s="34">
        <f t="shared" si="26"/>
        <v>1909</v>
      </c>
      <c r="H11" s="34">
        <f t="shared" si="2"/>
        <v>985.2</v>
      </c>
      <c r="I11" s="35">
        <f t="shared" si="3"/>
        <v>206.64646027278633</v>
      </c>
      <c r="J11" s="36">
        <f t="shared" si="42"/>
        <v>736</v>
      </c>
      <c r="K11" s="37">
        <f t="shared" si="43"/>
        <v>1039</v>
      </c>
      <c r="L11" s="37">
        <f t="shared" si="4"/>
        <v>303</v>
      </c>
      <c r="M11" s="42">
        <f t="shared" si="5"/>
        <v>141.16847826086956</v>
      </c>
      <c r="N11" s="38">
        <v>266.8</v>
      </c>
      <c r="O11" s="30">
        <v>293.4</v>
      </c>
      <c r="P11" s="31">
        <f t="shared" si="6"/>
        <v>26.599999999999966</v>
      </c>
      <c r="Q11" s="31">
        <f t="shared" si="7"/>
        <v>109.97001499250374</v>
      </c>
      <c r="R11" s="30">
        <v>24.4</v>
      </c>
      <c r="S11" s="30">
        <v>333.2</v>
      </c>
      <c r="T11" s="31">
        <f t="shared" si="27"/>
        <v>308.8</v>
      </c>
      <c r="U11" s="31" t="s">
        <v>27</v>
      </c>
      <c r="V11" s="30">
        <v>444.8</v>
      </c>
      <c r="W11" s="30">
        <v>412.4</v>
      </c>
      <c r="X11" s="31">
        <f t="shared" si="8"/>
        <v>-32.400000000000034</v>
      </c>
      <c r="Y11" s="31">
        <f t="shared" si="9"/>
        <v>92.71582733812949</v>
      </c>
      <c r="Z11" s="37">
        <f t="shared" si="39"/>
        <v>187.8</v>
      </c>
      <c r="AA11" s="37">
        <f t="shared" si="28"/>
        <v>870</v>
      </c>
      <c r="AB11" s="37">
        <f t="shared" si="29"/>
        <v>682.2</v>
      </c>
      <c r="AC11" s="37" t="s">
        <v>84</v>
      </c>
      <c r="AD11" s="30">
        <v>74.3</v>
      </c>
      <c r="AE11" s="30">
        <v>780.1</v>
      </c>
      <c r="AF11" s="31">
        <f t="shared" si="30"/>
        <v>705.8000000000001</v>
      </c>
      <c r="AG11" s="31" t="s">
        <v>27</v>
      </c>
      <c r="AH11" s="30">
        <v>19</v>
      </c>
      <c r="AI11" s="30">
        <v>29.5</v>
      </c>
      <c r="AJ11" s="31">
        <f t="shared" si="10"/>
        <v>10.5</v>
      </c>
      <c r="AK11" s="31">
        <f aca="true" t="shared" si="48" ref="AK11:AK38">AI11/AH11%</f>
        <v>155.26315789473685</v>
      </c>
      <c r="AL11" s="382">
        <f>112.2-17.7</f>
        <v>94.5</v>
      </c>
      <c r="AM11" s="30">
        <v>60.4</v>
      </c>
      <c r="AN11" s="31">
        <f t="shared" si="11"/>
        <v>-34.1</v>
      </c>
      <c r="AO11" s="31">
        <f t="shared" si="12"/>
        <v>63.91534391534392</v>
      </c>
      <c r="AP11" s="39">
        <f t="shared" si="45"/>
        <v>1119.1</v>
      </c>
      <c r="AQ11" s="40">
        <f t="shared" si="32"/>
        <v>2065.4</v>
      </c>
      <c r="AR11" s="40">
        <f t="shared" si="13"/>
        <v>946.3000000000002</v>
      </c>
      <c r="AS11" s="41">
        <f t="shared" si="14"/>
        <v>184.559020641587</v>
      </c>
      <c r="AT11" s="36">
        <f t="shared" si="33"/>
        <v>195.3</v>
      </c>
      <c r="AU11" s="37">
        <f t="shared" si="46"/>
        <v>156.4</v>
      </c>
      <c r="AV11" s="37">
        <f>AU11-AT11</f>
        <v>-38.900000000000006</v>
      </c>
      <c r="AW11" s="490">
        <f t="shared" si="15"/>
        <v>80.08192524321557</v>
      </c>
      <c r="AX11" s="30">
        <v>36.2</v>
      </c>
      <c r="AY11" s="30">
        <v>156.4</v>
      </c>
      <c r="AZ11" s="31">
        <f t="shared" si="47"/>
        <v>120.2</v>
      </c>
      <c r="BA11" s="31">
        <f t="shared" si="41"/>
        <v>432.0441988950276</v>
      </c>
      <c r="BB11" s="38">
        <v>38</v>
      </c>
      <c r="BC11" s="30"/>
      <c r="BD11" s="31">
        <f t="shared" si="16"/>
        <v>-38</v>
      </c>
      <c r="BE11" s="27">
        <f t="shared" si="17"/>
        <v>0</v>
      </c>
      <c r="BF11" s="38">
        <v>121.1</v>
      </c>
      <c r="BG11" s="30"/>
      <c r="BH11" s="31">
        <f t="shared" si="18"/>
        <v>-121.1</v>
      </c>
      <c r="BI11" s="27">
        <f t="shared" si="19"/>
        <v>0</v>
      </c>
      <c r="BJ11" s="44">
        <f t="shared" si="34"/>
        <v>943.2</v>
      </c>
      <c r="BK11" s="37">
        <f t="shared" si="35"/>
        <v>0</v>
      </c>
      <c r="BL11" s="37">
        <f t="shared" si="36"/>
        <v>-943.2</v>
      </c>
      <c r="BM11" s="42">
        <f t="shared" si="37"/>
        <v>0</v>
      </c>
      <c r="BN11" s="29">
        <v>95</v>
      </c>
      <c r="BO11" s="30"/>
      <c r="BP11" s="7">
        <f t="shared" si="20"/>
        <v>-95</v>
      </c>
      <c r="BQ11" s="43">
        <f t="shared" si="38"/>
        <v>0</v>
      </c>
      <c r="BR11" s="271">
        <v>73.3</v>
      </c>
      <c r="BS11" s="30"/>
      <c r="BT11" s="31">
        <f t="shared" si="21"/>
        <v>-73.3</v>
      </c>
      <c r="BU11" s="31">
        <f t="shared" si="22"/>
        <v>0</v>
      </c>
      <c r="BV11" s="272">
        <v>774.9</v>
      </c>
      <c r="BW11" s="30"/>
      <c r="BX11" s="31">
        <f t="shared" si="23"/>
        <v>-774.9</v>
      </c>
      <c r="BY11" s="31">
        <f t="shared" si="24"/>
        <v>0</v>
      </c>
      <c r="CE11" s="30"/>
    </row>
    <row r="12" spans="1:83" s="20" customFormat="1" ht="18.75" customHeight="1">
      <c r="A12" s="273" t="s">
        <v>101</v>
      </c>
      <c r="B12" s="21">
        <f t="shared" si="25"/>
        <v>27143.1</v>
      </c>
      <c r="C12" s="22">
        <f t="shared" si="25"/>
        <v>5168.200000000001</v>
      </c>
      <c r="D12" s="8">
        <f t="shared" si="0"/>
        <v>-21974.899999999998</v>
      </c>
      <c r="E12" s="19">
        <f t="shared" si="1"/>
        <v>19.040566479142033</v>
      </c>
      <c r="F12" s="9">
        <f t="shared" si="26"/>
        <v>3674.2</v>
      </c>
      <c r="G12" s="10">
        <f t="shared" si="26"/>
        <v>4150.6</v>
      </c>
      <c r="H12" s="10">
        <f t="shared" si="2"/>
        <v>476.40000000000055</v>
      </c>
      <c r="I12" s="11">
        <f t="shared" si="3"/>
        <v>112.9660878558598</v>
      </c>
      <c r="J12" s="23">
        <f>N12+R12+V12</f>
        <v>2362</v>
      </c>
      <c r="K12" s="486">
        <f t="shared" si="43"/>
        <v>3150.2</v>
      </c>
      <c r="L12" s="486">
        <f t="shared" si="4"/>
        <v>788.1999999999998</v>
      </c>
      <c r="M12" s="487">
        <f t="shared" si="5"/>
        <v>133.37002540220152</v>
      </c>
      <c r="N12" s="24">
        <v>930</v>
      </c>
      <c r="O12" s="22">
        <v>792.6</v>
      </c>
      <c r="P12" s="7">
        <f>O12-N12</f>
        <v>-137.39999999999998</v>
      </c>
      <c r="Q12" s="7">
        <f t="shared" si="7"/>
        <v>85.2258064516129</v>
      </c>
      <c r="R12" s="22">
        <v>437.5</v>
      </c>
      <c r="S12" s="22">
        <v>725.4</v>
      </c>
      <c r="T12" s="7">
        <f t="shared" si="27"/>
        <v>287.9</v>
      </c>
      <c r="U12" s="7">
        <f t="shared" si="44"/>
        <v>165.8057142857143</v>
      </c>
      <c r="V12" s="22">
        <v>994.5</v>
      </c>
      <c r="W12" s="22">
        <v>1632.2</v>
      </c>
      <c r="X12" s="7">
        <f t="shared" si="8"/>
        <v>637.7</v>
      </c>
      <c r="Y12" s="7">
        <f t="shared" si="9"/>
        <v>164.12267471091002</v>
      </c>
      <c r="Z12" s="486">
        <f t="shared" si="39"/>
        <v>1312.2</v>
      </c>
      <c r="AA12" s="486">
        <f t="shared" si="28"/>
        <v>1000.4000000000001</v>
      </c>
      <c r="AB12" s="486">
        <f t="shared" si="29"/>
        <v>-311.79999999999995</v>
      </c>
      <c r="AC12" s="486">
        <f>AA12/Z12%</f>
        <v>76.23837829599147</v>
      </c>
      <c r="AD12" s="22">
        <v>738.6</v>
      </c>
      <c r="AE12" s="22">
        <v>461.7</v>
      </c>
      <c r="AF12" s="7">
        <f t="shared" si="30"/>
        <v>-276.90000000000003</v>
      </c>
      <c r="AG12" s="7">
        <f t="shared" si="31"/>
        <v>62.51015434606011</v>
      </c>
      <c r="AH12" s="22">
        <v>402.2</v>
      </c>
      <c r="AI12" s="22">
        <v>217.9</v>
      </c>
      <c r="AJ12" s="7">
        <f t="shared" si="10"/>
        <v>-184.29999999999998</v>
      </c>
      <c r="AK12" s="7">
        <f t="shared" si="48"/>
        <v>54.17702635504724</v>
      </c>
      <c r="AL12" s="146">
        <v>171.4</v>
      </c>
      <c r="AM12" s="22">
        <v>320.8</v>
      </c>
      <c r="AN12" s="7">
        <f t="shared" si="11"/>
        <v>149.4</v>
      </c>
      <c r="AO12" s="7">
        <f t="shared" si="12"/>
        <v>187.16452742123687</v>
      </c>
      <c r="AP12" s="14">
        <f t="shared" si="45"/>
        <v>11029.5</v>
      </c>
      <c r="AQ12" s="15">
        <f t="shared" si="32"/>
        <v>5168.200000000001</v>
      </c>
      <c r="AR12" s="15">
        <f t="shared" si="13"/>
        <v>-5861.299999999999</v>
      </c>
      <c r="AS12" s="16">
        <f t="shared" si="14"/>
        <v>46.85797180289225</v>
      </c>
      <c r="AT12" s="23">
        <f t="shared" si="33"/>
        <v>7355.3</v>
      </c>
      <c r="AU12" s="486">
        <f t="shared" si="46"/>
        <v>1017.6</v>
      </c>
      <c r="AV12" s="486">
        <f>AU12-AT12</f>
        <v>-6337.7</v>
      </c>
      <c r="AW12" s="488">
        <f t="shared" si="15"/>
        <v>13.834921757100323</v>
      </c>
      <c r="AX12" s="22">
        <v>2525.2</v>
      </c>
      <c r="AY12" s="22">
        <v>1017.6</v>
      </c>
      <c r="AZ12" s="7">
        <f t="shared" si="47"/>
        <v>-1507.6</v>
      </c>
      <c r="BA12" s="7">
        <f t="shared" si="41"/>
        <v>40.29779819420244</v>
      </c>
      <c r="BB12" s="24">
        <v>2244.3</v>
      </c>
      <c r="BC12" s="22"/>
      <c r="BD12" s="7">
        <f t="shared" si="16"/>
        <v>-2244.3</v>
      </c>
      <c r="BE12" s="17">
        <f t="shared" si="17"/>
        <v>0</v>
      </c>
      <c r="BF12" s="24">
        <v>2585.8</v>
      </c>
      <c r="BG12" s="22"/>
      <c r="BH12" s="7">
        <f t="shared" si="18"/>
        <v>-2585.8</v>
      </c>
      <c r="BI12" s="17">
        <f t="shared" si="19"/>
        <v>0</v>
      </c>
      <c r="BJ12" s="25">
        <f t="shared" si="34"/>
        <v>16113.599999999999</v>
      </c>
      <c r="BK12" s="486"/>
      <c r="BL12" s="486"/>
      <c r="BM12" s="487"/>
      <c r="BN12" s="21">
        <v>3651.9</v>
      </c>
      <c r="BO12" s="22"/>
      <c r="BP12" s="7">
        <f t="shared" si="20"/>
        <v>-3651.9</v>
      </c>
      <c r="BQ12" s="18">
        <f t="shared" si="38"/>
        <v>0</v>
      </c>
      <c r="BR12" s="22">
        <v>8875.4</v>
      </c>
      <c r="BS12" s="22"/>
      <c r="BT12" s="7"/>
      <c r="BU12" s="7"/>
      <c r="BV12" s="270">
        <v>3586.3</v>
      </c>
      <c r="BW12" s="22"/>
      <c r="BX12" s="7">
        <f t="shared" si="23"/>
        <v>-3586.3</v>
      </c>
      <c r="BY12" s="7">
        <f t="shared" si="24"/>
        <v>0</v>
      </c>
      <c r="CE12" s="22"/>
    </row>
    <row r="13" spans="1:83" s="20" customFormat="1" ht="18.75">
      <c r="A13" s="5" t="s">
        <v>29</v>
      </c>
      <c r="B13" s="21">
        <f t="shared" si="25"/>
        <v>16557.6</v>
      </c>
      <c r="C13" s="22">
        <f t="shared" si="25"/>
        <v>8337.400000000001</v>
      </c>
      <c r="D13" s="8">
        <f t="shared" si="0"/>
        <v>-8220.199999999997</v>
      </c>
      <c r="E13" s="19">
        <f t="shared" si="1"/>
        <v>50.35391602647728</v>
      </c>
      <c r="F13" s="9">
        <v>8141.1</v>
      </c>
      <c r="G13" s="10">
        <f t="shared" si="26"/>
        <v>6588.700000000001</v>
      </c>
      <c r="H13" s="10">
        <f t="shared" si="2"/>
        <v>-1552.3999999999996</v>
      </c>
      <c r="I13" s="11">
        <f>G13/F13%</f>
        <v>80.9313237768852</v>
      </c>
      <c r="J13" s="23">
        <f t="shared" si="42"/>
        <v>3774.5</v>
      </c>
      <c r="K13" s="486">
        <f t="shared" si="43"/>
        <v>3769.1000000000004</v>
      </c>
      <c r="L13" s="486">
        <f t="shared" si="4"/>
        <v>-5.399999999999636</v>
      </c>
      <c r="M13" s="487">
        <f t="shared" si="5"/>
        <v>99.85693469333688</v>
      </c>
      <c r="N13" s="24">
        <f>N14+N21+N15</f>
        <v>943</v>
      </c>
      <c r="O13" s="24">
        <f>O14+O21+O15</f>
        <v>1004.5</v>
      </c>
      <c r="P13" s="7">
        <f t="shared" si="6"/>
        <v>61.5</v>
      </c>
      <c r="Q13" s="7">
        <f t="shared" si="7"/>
        <v>106.52173913043478</v>
      </c>
      <c r="R13" s="24">
        <f>R14+R21+R15</f>
        <v>1413.1</v>
      </c>
      <c r="S13" s="24">
        <f>S14+S21+S15</f>
        <v>1177.8</v>
      </c>
      <c r="T13" s="7">
        <f t="shared" si="27"/>
        <v>-235.29999999999995</v>
      </c>
      <c r="U13" s="7">
        <f t="shared" si="44"/>
        <v>83.34866605335787</v>
      </c>
      <c r="V13" s="24">
        <f>V14+V21+V15</f>
        <v>1418.4</v>
      </c>
      <c r="W13" s="24">
        <f>W14+W21+W15</f>
        <v>1586.8</v>
      </c>
      <c r="X13" s="7">
        <f t="shared" si="8"/>
        <v>168.39999999999986</v>
      </c>
      <c r="Y13" s="7">
        <f>W13/V13%</f>
        <v>111.87253243090805</v>
      </c>
      <c r="Z13" s="486">
        <f t="shared" si="39"/>
        <v>4360.9</v>
      </c>
      <c r="AA13" s="486">
        <f t="shared" si="28"/>
        <v>2819.6000000000004</v>
      </c>
      <c r="AB13" s="486">
        <f t="shared" si="29"/>
        <v>-1541.2999999999993</v>
      </c>
      <c r="AC13" s="486">
        <f>AA13/Z13%</f>
        <v>64.6563782705405</v>
      </c>
      <c r="AD13" s="24">
        <f>AD14+AD21+AD15</f>
        <v>1794.8</v>
      </c>
      <c r="AE13" s="24">
        <f>AE14+AE21+AE15</f>
        <v>659.8000000000001</v>
      </c>
      <c r="AF13" s="7">
        <f t="shared" si="30"/>
        <v>-1135</v>
      </c>
      <c r="AG13" s="7">
        <f t="shared" si="31"/>
        <v>36.7617561845331</v>
      </c>
      <c r="AH13" s="24">
        <f>AH14+AH21+AH15</f>
        <v>1069</v>
      </c>
      <c r="AI13" s="24">
        <f>AI14+AI21+AI15</f>
        <v>805.1</v>
      </c>
      <c r="AJ13" s="7">
        <f t="shared" si="10"/>
        <v>-263.9</v>
      </c>
      <c r="AK13" s="7">
        <f t="shared" si="48"/>
        <v>75.3133769878391</v>
      </c>
      <c r="AL13" s="270">
        <f>AL14+AL21+AL15</f>
        <v>1497.1</v>
      </c>
      <c r="AM13" s="24">
        <f>AM14+AM21+AM15</f>
        <v>1354.7</v>
      </c>
      <c r="AN13" s="7">
        <f t="shared" si="11"/>
        <v>-142.39999999999986</v>
      </c>
      <c r="AO13" s="7">
        <f t="shared" si="12"/>
        <v>90.4882773361833</v>
      </c>
      <c r="AP13" s="14">
        <f t="shared" si="45"/>
        <v>12119.4</v>
      </c>
      <c r="AQ13" s="15">
        <f t="shared" si="32"/>
        <v>8337.400000000001</v>
      </c>
      <c r="AR13" s="15">
        <f t="shared" si="13"/>
        <v>-3781.999999999998</v>
      </c>
      <c r="AS13" s="16">
        <f>AQ13/AP13%</f>
        <v>68.79383467828441</v>
      </c>
      <c r="AT13" s="23">
        <f t="shared" si="33"/>
        <v>3984</v>
      </c>
      <c r="AU13" s="486">
        <f t="shared" si="46"/>
        <v>1748.6999999999998</v>
      </c>
      <c r="AV13" s="486">
        <f t="shared" si="40"/>
        <v>-2235.3</v>
      </c>
      <c r="AW13" s="488">
        <f t="shared" si="15"/>
        <v>43.89307228915662</v>
      </c>
      <c r="AX13" s="22">
        <f>AX14+AX21+AX15</f>
        <v>1471.9</v>
      </c>
      <c r="AY13" s="22">
        <f>AY14+AY21+AY15</f>
        <v>1748.6999999999998</v>
      </c>
      <c r="AZ13" s="7">
        <f t="shared" si="47"/>
        <v>276.7999999999997</v>
      </c>
      <c r="BA13" s="7">
        <f>AY13/AX13%</f>
        <v>118.80562538215909</v>
      </c>
      <c r="BB13" s="24">
        <f>BB14+BB21+BB15</f>
        <v>1281.1</v>
      </c>
      <c r="BC13" s="24">
        <f>BC14+BC21+BC15</f>
        <v>0</v>
      </c>
      <c r="BD13" s="7">
        <f t="shared" si="16"/>
        <v>-1281.1</v>
      </c>
      <c r="BE13" s="17">
        <f>BC13/BB13%</f>
        <v>0</v>
      </c>
      <c r="BF13" s="24">
        <f>BF14+BF21+BF15</f>
        <v>1231</v>
      </c>
      <c r="BG13" s="24">
        <f>BG14+BG21+BG15</f>
        <v>0</v>
      </c>
      <c r="BH13" s="7">
        <f t="shared" si="18"/>
        <v>-1231</v>
      </c>
      <c r="BI13" s="7">
        <f>BG13/BF13%</f>
        <v>0</v>
      </c>
      <c r="BJ13" s="25">
        <f t="shared" si="34"/>
        <v>4438.2</v>
      </c>
      <c r="BK13" s="486">
        <f t="shared" si="35"/>
        <v>0</v>
      </c>
      <c r="BL13" s="486">
        <f t="shared" si="36"/>
        <v>-4438.2</v>
      </c>
      <c r="BM13" s="487">
        <f>BK13/BJ13%</f>
        <v>0</v>
      </c>
      <c r="BN13" s="24">
        <f>BN14+BN21+BN15</f>
        <v>1468.6999999999998</v>
      </c>
      <c r="BO13" s="24">
        <f>BO14+BO21+BO15</f>
        <v>0</v>
      </c>
      <c r="BP13" s="7">
        <f t="shared" si="20"/>
        <v>-1468.6999999999998</v>
      </c>
      <c r="BQ13" s="18">
        <f t="shared" si="38"/>
        <v>0</v>
      </c>
      <c r="BR13" s="146">
        <f>BR14+BR21+BR15</f>
        <v>1538.9</v>
      </c>
      <c r="BS13" s="22">
        <f>BS14+BS21+BS15</f>
        <v>0</v>
      </c>
      <c r="BT13" s="7">
        <f t="shared" si="21"/>
        <v>-1538.9</v>
      </c>
      <c r="BU13" s="7">
        <f t="shared" si="22"/>
        <v>0</v>
      </c>
      <c r="BV13" s="270">
        <f>BV14+BV21+BV15</f>
        <v>1430.6</v>
      </c>
      <c r="BW13" s="24">
        <f>BW14+BW21+BW15</f>
        <v>0</v>
      </c>
      <c r="BX13" s="7">
        <f t="shared" si="23"/>
        <v>-1430.6</v>
      </c>
      <c r="BY13" s="19" t="s">
        <v>27</v>
      </c>
      <c r="CE13" s="24">
        <f>CE14+CE21+CE15</f>
        <v>0</v>
      </c>
    </row>
    <row r="14" spans="1:83" ht="54" customHeight="1">
      <c r="A14" s="45" t="s">
        <v>85</v>
      </c>
      <c r="B14" s="29">
        <f t="shared" si="25"/>
        <v>10797.7</v>
      </c>
      <c r="C14" s="30">
        <f t="shared" si="25"/>
        <v>5751.5</v>
      </c>
      <c r="D14" s="32">
        <f t="shared" si="0"/>
        <v>-5046.200000000001</v>
      </c>
      <c r="E14" s="143">
        <f t="shared" si="1"/>
        <v>53.26597330913064</v>
      </c>
      <c r="F14" s="33">
        <f t="shared" si="26"/>
        <v>5310.700000000001</v>
      </c>
      <c r="G14" s="34">
        <f t="shared" si="26"/>
        <v>4573.9</v>
      </c>
      <c r="H14" s="34">
        <f t="shared" si="2"/>
        <v>-736.8000000000011</v>
      </c>
      <c r="I14" s="35">
        <f>G14/F14%</f>
        <v>86.12612273334963</v>
      </c>
      <c r="J14" s="36">
        <f t="shared" si="42"/>
        <v>2467.8</v>
      </c>
      <c r="K14" s="37">
        <f t="shared" si="43"/>
        <v>2425.5</v>
      </c>
      <c r="L14" s="37">
        <f t="shared" si="4"/>
        <v>-42.30000000000018</v>
      </c>
      <c r="M14" s="42">
        <f t="shared" si="5"/>
        <v>98.28592268417214</v>
      </c>
      <c r="N14" s="38">
        <v>626.2</v>
      </c>
      <c r="O14" s="30">
        <v>694.3</v>
      </c>
      <c r="P14" s="31">
        <f t="shared" si="6"/>
        <v>68.09999999999991</v>
      </c>
      <c r="Q14" s="31">
        <f t="shared" si="7"/>
        <v>110.87511977004151</v>
      </c>
      <c r="R14" s="30">
        <v>1040.3</v>
      </c>
      <c r="S14" s="30">
        <v>782.3</v>
      </c>
      <c r="T14" s="31">
        <f t="shared" si="27"/>
        <v>-258</v>
      </c>
      <c r="U14" s="31">
        <f t="shared" si="44"/>
        <v>75.1994616937422</v>
      </c>
      <c r="V14" s="30">
        <v>801.3</v>
      </c>
      <c r="W14" s="30">
        <v>948.9</v>
      </c>
      <c r="X14" s="31">
        <f t="shared" si="8"/>
        <v>147.60000000000002</v>
      </c>
      <c r="Y14" s="31">
        <f t="shared" si="9"/>
        <v>118.42006739049044</v>
      </c>
      <c r="Z14" s="37">
        <f t="shared" si="39"/>
        <v>2842.9</v>
      </c>
      <c r="AA14" s="37">
        <f t="shared" si="28"/>
        <v>2148.4</v>
      </c>
      <c r="AB14" s="37">
        <f t="shared" si="29"/>
        <v>-694.5</v>
      </c>
      <c r="AC14" s="37">
        <f>AA14/Z14%</f>
        <v>75.57072003939639</v>
      </c>
      <c r="AD14" s="30">
        <v>1222.1</v>
      </c>
      <c r="AE14" s="30">
        <v>646.1</v>
      </c>
      <c r="AF14" s="31">
        <f t="shared" si="30"/>
        <v>-575.9999999999999</v>
      </c>
      <c r="AG14" s="31">
        <f>AE14/AD14%</f>
        <v>52.8680140741347</v>
      </c>
      <c r="AH14" s="30">
        <v>729.4</v>
      </c>
      <c r="AI14" s="30">
        <v>625.7</v>
      </c>
      <c r="AJ14" s="31">
        <f t="shared" si="10"/>
        <v>-103.69999999999993</v>
      </c>
      <c r="AK14" s="31">
        <f t="shared" si="48"/>
        <v>85.78283520701947</v>
      </c>
      <c r="AL14" s="271">
        <v>891.4</v>
      </c>
      <c r="AM14" s="30">
        <v>876.6</v>
      </c>
      <c r="AN14" s="31">
        <f t="shared" si="11"/>
        <v>-14.799999999999955</v>
      </c>
      <c r="AO14" s="31">
        <f t="shared" si="12"/>
        <v>98.3396903746915</v>
      </c>
      <c r="AP14" s="39">
        <f t="shared" si="45"/>
        <v>7881.200000000001</v>
      </c>
      <c r="AQ14" s="40">
        <f t="shared" si="32"/>
        <v>5751.5</v>
      </c>
      <c r="AR14" s="40">
        <f t="shared" si="13"/>
        <v>-2129.7000000000007</v>
      </c>
      <c r="AS14" s="41">
        <f>AQ14/AP14%</f>
        <v>72.97746536060497</v>
      </c>
      <c r="AT14" s="36">
        <f t="shared" si="33"/>
        <v>2570.5</v>
      </c>
      <c r="AU14" s="37">
        <f t="shared" si="46"/>
        <v>1177.6</v>
      </c>
      <c r="AV14" s="37">
        <f t="shared" si="40"/>
        <v>-1392.9</v>
      </c>
      <c r="AW14" s="490">
        <f t="shared" si="15"/>
        <v>45.812098813460416</v>
      </c>
      <c r="AX14" s="30">
        <v>889.9</v>
      </c>
      <c r="AY14" s="30">
        <v>1177.6</v>
      </c>
      <c r="AZ14" s="31">
        <f t="shared" si="47"/>
        <v>287.69999999999993</v>
      </c>
      <c r="BA14" s="31">
        <f t="shared" si="41"/>
        <v>132.32947522193504</v>
      </c>
      <c r="BB14" s="38">
        <v>843.5</v>
      </c>
      <c r="BC14" s="30"/>
      <c r="BD14" s="31">
        <f t="shared" si="16"/>
        <v>-843.5</v>
      </c>
      <c r="BE14" s="27">
        <f>BC14/BB14%</f>
        <v>0</v>
      </c>
      <c r="BF14" s="38">
        <v>837.1</v>
      </c>
      <c r="BG14" s="30"/>
      <c r="BH14" s="31">
        <f t="shared" si="18"/>
        <v>-837.1</v>
      </c>
      <c r="BI14" s="27">
        <f aca="true" t="shared" si="49" ref="BI14:BI21">BG14/BF14%</f>
        <v>0</v>
      </c>
      <c r="BJ14" s="44">
        <f t="shared" si="34"/>
        <v>2916.5</v>
      </c>
      <c r="BK14" s="37">
        <f t="shared" si="35"/>
        <v>0</v>
      </c>
      <c r="BL14" s="37">
        <f t="shared" si="36"/>
        <v>-2916.5</v>
      </c>
      <c r="BM14" s="42">
        <f>BK14/BJ14%</f>
        <v>0</v>
      </c>
      <c r="BN14" s="29">
        <v>1066.6</v>
      </c>
      <c r="BO14" s="30"/>
      <c r="BP14" s="7">
        <f t="shared" si="20"/>
        <v>-1066.6</v>
      </c>
      <c r="BQ14" s="43">
        <f>BO14/BN14%</f>
        <v>0</v>
      </c>
      <c r="BR14" s="271">
        <v>979.5</v>
      </c>
      <c r="BS14" s="30"/>
      <c r="BT14" s="31">
        <f t="shared" si="21"/>
        <v>-979.5</v>
      </c>
      <c r="BU14" s="31">
        <f>BS14/BR14%</f>
        <v>0</v>
      </c>
      <c r="BV14" s="272">
        <v>870.4</v>
      </c>
      <c r="BW14" s="30"/>
      <c r="BX14" s="31">
        <f t="shared" si="23"/>
        <v>-870.4</v>
      </c>
      <c r="BY14" s="31"/>
      <c r="CE14" s="30"/>
    </row>
    <row r="15" spans="1:83" ht="55.5" customHeight="1">
      <c r="A15" s="157" t="s">
        <v>86</v>
      </c>
      <c r="B15" s="29">
        <f t="shared" si="25"/>
        <v>5360.299999999999</v>
      </c>
      <c r="C15" s="30">
        <f t="shared" si="25"/>
        <v>2525.9</v>
      </c>
      <c r="D15" s="32">
        <f>C15-B15</f>
        <v>-2834.399999999999</v>
      </c>
      <c r="E15" s="143">
        <f t="shared" si="1"/>
        <v>47.12236255433465</v>
      </c>
      <c r="F15" s="33">
        <v>2650.4</v>
      </c>
      <c r="G15" s="34">
        <f t="shared" si="26"/>
        <v>1999.8</v>
      </c>
      <c r="H15" s="158">
        <f t="shared" si="2"/>
        <v>-650.6000000000001</v>
      </c>
      <c r="I15" s="159">
        <f>G15/F15%</f>
        <v>75.45276184726833</v>
      </c>
      <c r="J15" s="36">
        <f t="shared" si="42"/>
        <v>1221.7</v>
      </c>
      <c r="K15" s="37">
        <f t="shared" si="43"/>
        <v>1338.6</v>
      </c>
      <c r="L15" s="37">
        <f t="shared" si="4"/>
        <v>116.89999999999986</v>
      </c>
      <c r="M15" s="42">
        <f t="shared" si="5"/>
        <v>109.56863387083571</v>
      </c>
      <c r="N15" s="160">
        <v>306.8</v>
      </c>
      <c r="O15" s="30">
        <v>305.2</v>
      </c>
      <c r="P15" s="32">
        <f t="shared" si="6"/>
        <v>-1.6000000000000227</v>
      </c>
      <c r="Q15" s="31">
        <f t="shared" si="7"/>
        <v>99.47848761408083</v>
      </c>
      <c r="R15" s="160">
        <v>337.8</v>
      </c>
      <c r="S15" s="30">
        <v>395.5</v>
      </c>
      <c r="T15" s="32">
        <f t="shared" si="27"/>
        <v>57.69999999999999</v>
      </c>
      <c r="U15" s="31">
        <f t="shared" si="44"/>
        <v>117.08111308466547</v>
      </c>
      <c r="V15" s="160">
        <v>577.1</v>
      </c>
      <c r="W15" s="30">
        <v>637.9</v>
      </c>
      <c r="X15" s="32">
        <f t="shared" si="8"/>
        <v>60.799999999999955</v>
      </c>
      <c r="Y15" s="143">
        <f t="shared" si="9"/>
        <v>110.53543579968809</v>
      </c>
      <c r="Z15" s="37">
        <f t="shared" si="39"/>
        <v>1423</v>
      </c>
      <c r="AA15" s="37">
        <f t="shared" si="28"/>
        <v>661.2</v>
      </c>
      <c r="AB15" s="37">
        <f t="shared" si="29"/>
        <v>-761.8</v>
      </c>
      <c r="AC15" s="37">
        <f>AA15/Z15%</f>
        <v>46.46521433591005</v>
      </c>
      <c r="AD15" s="160">
        <v>547.7</v>
      </c>
      <c r="AE15" s="30">
        <v>13.7</v>
      </c>
      <c r="AF15" s="32">
        <f t="shared" si="30"/>
        <v>-534</v>
      </c>
      <c r="AG15" s="31">
        <f>AE15/AD15%</f>
        <v>2.5013693627898483</v>
      </c>
      <c r="AH15" s="160">
        <v>304.6</v>
      </c>
      <c r="AI15" s="30">
        <v>179.4</v>
      </c>
      <c r="AJ15" s="32">
        <f t="shared" si="10"/>
        <v>-125.20000000000002</v>
      </c>
      <c r="AK15" s="31">
        <f t="shared" si="48"/>
        <v>58.896913985554825</v>
      </c>
      <c r="AL15" s="274">
        <v>570.7</v>
      </c>
      <c r="AM15" s="30">
        <v>468.1</v>
      </c>
      <c r="AN15" s="32">
        <f t="shared" si="11"/>
        <v>-102.60000000000002</v>
      </c>
      <c r="AO15" s="143">
        <f t="shared" si="12"/>
        <v>82.02207814964079</v>
      </c>
      <c r="AP15" s="39">
        <f t="shared" si="45"/>
        <v>3953.2</v>
      </c>
      <c r="AQ15" s="40">
        <f t="shared" si="32"/>
        <v>2525.9</v>
      </c>
      <c r="AR15" s="40">
        <f t="shared" si="13"/>
        <v>-1427.2999999999997</v>
      </c>
      <c r="AS15" s="41">
        <f>AQ15/AP15%</f>
        <v>63.89507234645352</v>
      </c>
      <c r="AT15" s="36">
        <f t="shared" si="33"/>
        <v>1308.5</v>
      </c>
      <c r="AU15" s="37">
        <f t="shared" si="46"/>
        <v>526.1</v>
      </c>
      <c r="AV15" s="37">
        <f t="shared" si="40"/>
        <v>-782.4</v>
      </c>
      <c r="AW15" s="490">
        <f t="shared" si="15"/>
        <v>40.20634314100115</v>
      </c>
      <c r="AX15" s="30">
        <v>552</v>
      </c>
      <c r="AY15" s="30">
        <v>526.1</v>
      </c>
      <c r="AZ15" s="32">
        <f t="shared" si="47"/>
        <v>-25.899999999999977</v>
      </c>
      <c r="BA15" s="32">
        <f t="shared" si="41"/>
        <v>95.30797101449276</v>
      </c>
      <c r="BB15" s="162">
        <v>402.6</v>
      </c>
      <c r="BC15" s="30"/>
      <c r="BD15" s="32">
        <f t="shared" si="16"/>
        <v>-402.6</v>
      </c>
      <c r="BE15" s="143">
        <f>BC15/BB15%</f>
        <v>0</v>
      </c>
      <c r="BF15" s="162">
        <v>353.9</v>
      </c>
      <c r="BG15" s="30"/>
      <c r="BH15" s="32">
        <f t="shared" si="18"/>
        <v>-353.9</v>
      </c>
      <c r="BI15" s="143">
        <f t="shared" si="49"/>
        <v>0</v>
      </c>
      <c r="BJ15" s="44">
        <f t="shared" si="34"/>
        <v>1407.1</v>
      </c>
      <c r="BK15" s="37">
        <f t="shared" si="35"/>
        <v>0</v>
      </c>
      <c r="BL15" s="37">
        <f t="shared" si="36"/>
        <v>-1407.1</v>
      </c>
      <c r="BM15" s="42">
        <f>BK15/BJ15%</f>
        <v>0</v>
      </c>
      <c r="BN15" s="160">
        <v>362.1</v>
      </c>
      <c r="BO15" s="30"/>
      <c r="BP15" s="32">
        <f t="shared" si="20"/>
        <v>-362.1</v>
      </c>
      <c r="BQ15" s="161">
        <f>BO15/BN15%</f>
        <v>0</v>
      </c>
      <c r="BR15" s="271">
        <v>519.4</v>
      </c>
      <c r="BS15" s="30"/>
      <c r="BT15" s="32">
        <f t="shared" si="21"/>
        <v>-519.4</v>
      </c>
      <c r="BU15" s="32">
        <f>BS15/BR15%</f>
        <v>0</v>
      </c>
      <c r="BV15" s="275">
        <v>525.6</v>
      </c>
      <c r="BW15" s="30"/>
      <c r="BX15" s="32">
        <f t="shared" si="23"/>
        <v>-525.6</v>
      </c>
      <c r="BY15" s="143">
        <f t="shared" si="24"/>
        <v>0</v>
      </c>
      <c r="CE15" s="30"/>
    </row>
    <row r="16" spans="1:83" ht="15.75" customHeight="1" hidden="1">
      <c r="A16" s="163" t="s">
        <v>87</v>
      </c>
      <c r="B16" s="164">
        <f t="shared" si="25"/>
        <v>0</v>
      </c>
      <c r="C16" s="165">
        <f t="shared" si="25"/>
        <v>0</v>
      </c>
      <c r="D16" s="166">
        <f t="shared" si="0"/>
        <v>0</v>
      </c>
      <c r="E16" s="167" t="e">
        <f t="shared" si="1"/>
        <v>#DIV/0!</v>
      </c>
      <c r="F16" s="168">
        <f t="shared" si="26"/>
        <v>0</v>
      </c>
      <c r="G16" s="166">
        <f t="shared" si="26"/>
        <v>0</v>
      </c>
      <c r="H16" s="166">
        <f t="shared" si="2"/>
        <v>0</v>
      </c>
      <c r="I16" s="169" t="e">
        <f>G16/F16%</f>
        <v>#DIV/0!</v>
      </c>
      <c r="J16" s="170">
        <f t="shared" si="42"/>
        <v>0</v>
      </c>
      <c r="K16" s="166">
        <f t="shared" si="43"/>
        <v>0</v>
      </c>
      <c r="L16" s="166">
        <f t="shared" si="4"/>
        <v>0</v>
      </c>
      <c r="M16" s="167" t="e">
        <f t="shared" si="5"/>
        <v>#DIV/0!</v>
      </c>
      <c r="N16" s="171"/>
      <c r="O16" s="165"/>
      <c r="P16" s="166"/>
      <c r="Q16" s="31" t="e">
        <f t="shared" si="7"/>
        <v>#DIV/0!</v>
      </c>
      <c r="R16" s="165"/>
      <c r="S16" s="165"/>
      <c r="T16" s="166"/>
      <c r="U16" s="31" t="e">
        <f t="shared" si="44"/>
        <v>#DIV/0!</v>
      </c>
      <c r="V16" s="165"/>
      <c r="W16" s="165"/>
      <c r="X16" s="166">
        <f t="shared" si="8"/>
        <v>0</v>
      </c>
      <c r="Y16" s="166" t="e">
        <f t="shared" si="9"/>
        <v>#DIV/0!</v>
      </c>
      <c r="Z16" s="166">
        <f t="shared" si="39"/>
        <v>0</v>
      </c>
      <c r="AA16" s="166">
        <f t="shared" si="28"/>
        <v>0</v>
      </c>
      <c r="AB16" s="166">
        <f t="shared" si="29"/>
        <v>0</v>
      </c>
      <c r="AC16" s="166" t="e">
        <f>AA16/Z16%</f>
        <v>#DIV/0!</v>
      </c>
      <c r="AD16" s="165"/>
      <c r="AE16" s="165"/>
      <c r="AF16" s="166">
        <f t="shared" si="30"/>
        <v>0</v>
      </c>
      <c r="AG16" s="166"/>
      <c r="AH16" s="165"/>
      <c r="AI16" s="165"/>
      <c r="AJ16" s="166"/>
      <c r="AK16" s="31" t="e">
        <f t="shared" si="48"/>
        <v>#DIV/0!</v>
      </c>
      <c r="AL16" s="165"/>
      <c r="AM16" s="165"/>
      <c r="AN16" s="166">
        <f t="shared" si="11"/>
        <v>0</v>
      </c>
      <c r="AO16" s="166" t="e">
        <f t="shared" si="12"/>
        <v>#DIV/0!</v>
      </c>
      <c r="AP16" s="168">
        <f t="shared" si="45"/>
        <v>0</v>
      </c>
      <c r="AQ16" s="166">
        <f t="shared" si="32"/>
        <v>0</v>
      </c>
      <c r="AR16" s="166">
        <f t="shared" si="13"/>
        <v>0</v>
      </c>
      <c r="AS16" s="167" t="e">
        <f>AQ16/AP16%</f>
        <v>#DIV/0!</v>
      </c>
      <c r="AT16" s="170">
        <f t="shared" si="33"/>
        <v>0</v>
      </c>
      <c r="AU16" s="166">
        <f t="shared" si="46"/>
        <v>0</v>
      </c>
      <c r="AV16" s="166">
        <f t="shared" si="40"/>
        <v>0</v>
      </c>
      <c r="AW16" s="169" t="e">
        <f t="shared" si="15"/>
        <v>#DIV/0!</v>
      </c>
      <c r="AX16" s="165"/>
      <c r="AY16" s="165"/>
      <c r="AZ16" s="166"/>
      <c r="BA16" s="166"/>
      <c r="BB16" s="171"/>
      <c r="BC16" s="165"/>
      <c r="BD16" s="166"/>
      <c r="BE16" s="167"/>
      <c r="BF16" s="171"/>
      <c r="BG16" s="165"/>
      <c r="BH16" s="166">
        <f t="shared" si="18"/>
        <v>0</v>
      </c>
      <c r="BI16" s="167" t="e">
        <f t="shared" si="49"/>
        <v>#DIV/0!</v>
      </c>
      <c r="BJ16" s="168">
        <f t="shared" si="34"/>
        <v>0</v>
      </c>
      <c r="BK16" s="166"/>
      <c r="BL16" s="166"/>
      <c r="BM16" s="167"/>
      <c r="BN16" s="164"/>
      <c r="BO16" s="165"/>
      <c r="BP16" s="172"/>
      <c r="BQ16" s="161" t="e">
        <f aca="true" t="shared" si="50" ref="BQ16:BQ21">BO16/BN16%</f>
        <v>#DIV/0!</v>
      </c>
      <c r="BR16" s="271"/>
      <c r="BS16" s="165"/>
      <c r="BT16" s="166"/>
      <c r="BU16" s="166"/>
      <c r="BV16" s="272"/>
      <c r="BW16" s="165"/>
      <c r="BX16" s="166">
        <f t="shared" si="23"/>
        <v>0</v>
      </c>
      <c r="BY16" s="166" t="e">
        <f t="shared" si="24"/>
        <v>#DIV/0!</v>
      </c>
      <c r="BZ16" s="173"/>
      <c r="CE16" s="165"/>
    </row>
    <row r="17" spans="1:83" ht="15.75" customHeight="1" hidden="1">
      <c r="A17" s="163" t="s">
        <v>88</v>
      </c>
      <c r="B17" s="164"/>
      <c r="C17" s="165">
        <f>K17+AA17+AU17+BK17</f>
        <v>0</v>
      </c>
      <c r="D17" s="166">
        <f>C17-B17</f>
        <v>0</v>
      </c>
      <c r="E17" s="167"/>
      <c r="F17" s="168">
        <f t="shared" si="26"/>
        <v>0</v>
      </c>
      <c r="G17" s="166">
        <f t="shared" si="26"/>
        <v>0</v>
      </c>
      <c r="H17" s="166">
        <f t="shared" si="2"/>
        <v>0</v>
      </c>
      <c r="I17" s="169"/>
      <c r="J17" s="170"/>
      <c r="K17" s="166">
        <f t="shared" si="43"/>
        <v>0</v>
      </c>
      <c r="L17" s="166">
        <f t="shared" si="4"/>
        <v>0</v>
      </c>
      <c r="M17" s="167"/>
      <c r="N17" s="171"/>
      <c r="O17" s="165"/>
      <c r="P17" s="166"/>
      <c r="Q17" s="31" t="e">
        <f t="shared" si="7"/>
        <v>#DIV/0!</v>
      </c>
      <c r="R17" s="165"/>
      <c r="S17" s="165"/>
      <c r="T17" s="166"/>
      <c r="U17" s="31" t="e">
        <f t="shared" si="44"/>
        <v>#DIV/0!</v>
      </c>
      <c r="V17" s="165"/>
      <c r="W17" s="165"/>
      <c r="X17" s="166"/>
      <c r="Y17" s="166"/>
      <c r="Z17" s="166"/>
      <c r="AA17" s="166">
        <f t="shared" si="28"/>
        <v>0</v>
      </c>
      <c r="AB17" s="166">
        <f t="shared" si="29"/>
        <v>0</v>
      </c>
      <c r="AC17" s="166"/>
      <c r="AD17" s="165"/>
      <c r="AE17" s="165"/>
      <c r="AF17" s="166">
        <f t="shared" si="30"/>
        <v>0</v>
      </c>
      <c r="AG17" s="166"/>
      <c r="AH17" s="165"/>
      <c r="AI17" s="165"/>
      <c r="AJ17" s="166"/>
      <c r="AK17" s="31" t="e">
        <f t="shared" si="48"/>
        <v>#DIV/0!</v>
      </c>
      <c r="AL17" s="165"/>
      <c r="AM17" s="165"/>
      <c r="AN17" s="166"/>
      <c r="AO17" s="166"/>
      <c r="AP17" s="168">
        <f t="shared" si="45"/>
        <v>0</v>
      </c>
      <c r="AQ17" s="166">
        <f t="shared" si="32"/>
        <v>0</v>
      </c>
      <c r="AR17" s="166">
        <f t="shared" si="13"/>
        <v>0</v>
      </c>
      <c r="AS17" s="167"/>
      <c r="AT17" s="170">
        <f t="shared" si="33"/>
        <v>0</v>
      </c>
      <c r="AU17" s="166">
        <f t="shared" si="46"/>
        <v>0</v>
      </c>
      <c r="AV17" s="166">
        <f t="shared" si="40"/>
        <v>0</v>
      </c>
      <c r="AW17" s="169"/>
      <c r="AX17" s="165"/>
      <c r="AY17" s="165"/>
      <c r="AZ17" s="166"/>
      <c r="BA17" s="166"/>
      <c r="BB17" s="171"/>
      <c r="BC17" s="165"/>
      <c r="BD17" s="166"/>
      <c r="BE17" s="167"/>
      <c r="BF17" s="171"/>
      <c r="BG17" s="165"/>
      <c r="BH17" s="166"/>
      <c r="BI17" s="167"/>
      <c r="BJ17" s="168"/>
      <c r="BK17" s="166"/>
      <c r="BL17" s="166"/>
      <c r="BM17" s="167"/>
      <c r="BN17" s="164"/>
      <c r="BO17" s="165"/>
      <c r="BP17" s="172"/>
      <c r="BQ17" s="161" t="e">
        <f t="shared" si="50"/>
        <v>#DIV/0!</v>
      </c>
      <c r="BR17" s="271"/>
      <c r="BS17" s="165"/>
      <c r="BT17" s="166"/>
      <c r="BU17" s="166"/>
      <c r="BV17" s="272"/>
      <c r="BW17" s="165"/>
      <c r="BX17" s="166"/>
      <c r="BY17" s="166"/>
      <c r="BZ17" s="173"/>
      <c r="CE17" s="165"/>
    </row>
    <row r="18" spans="1:83" ht="15.75" customHeight="1" hidden="1">
      <c r="A18" s="174" t="s">
        <v>89</v>
      </c>
      <c r="B18" s="164">
        <f>J18+Z18+AT18+BJ18</f>
        <v>0</v>
      </c>
      <c r="C18" s="165">
        <f>K18+AA18+AU18+BK18</f>
        <v>0</v>
      </c>
      <c r="D18" s="166">
        <f t="shared" si="0"/>
        <v>0</v>
      </c>
      <c r="E18" s="167" t="e">
        <f t="shared" si="1"/>
        <v>#DIV/0!</v>
      </c>
      <c r="F18" s="168">
        <f t="shared" si="26"/>
        <v>0</v>
      </c>
      <c r="G18" s="166">
        <f t="shared" si="26"/>
        <v>0</v>
      </c>
      <c r="H18" s="166">
        <f t="shared" si="2"/>
        <v>0</v>
      </c>
      <c r="I18" s="169" t="e">
        <f>G18/F18%</f>
        <v>#DIV/0!</v>
      </c>
      <c r="J18" s="170">
        <f t="shared" si="42"/>
        <v>0</v>
      </c>
      <c r="K18" s="166">
        <f t="shared" si="43"/>
        <v>0</v>
      </c>
      <c r="L18" s="166">
        <f t="shared" si="4"/>
        <v>0</v>
      </c>
      <c r="M18" s="167" t="e">
        <f t="shared" si="5"/>
        <v>#DIV/0!</v>
      </c>
      <c r="N18" s="171"/>
      <c r="O18" s="165"/>
      <c r="P18" s="166"/>
      <c r="Q18" s="31" t="e">
        <f t="shared" si="7"/>
        <v>#DIV/0!</v>
      </c>
      <c r="R18" s="165"/>
      <c r="S18" s="165"/>
      <c r="T18" s="166"/>
      <c r="U18" s="31" t="e">
        <f t="shared" si="44"/>
        <v>#DIV/0!</v>
      </c>
      <c r="V18" s="165"/>
      <c r="W18" s="165"/>
      <c r="X18" s="166">
        <f t="shared" si="8"/>
        <v>0</v>
      </c>
      <c r="Y18" s="166" t="e">
        <f>W18/V18%</f>
        <v>#DIV/0!</v>
      </c>
      <c r="Z18" s="166">
        <f t="shared" si="39"/>
        <v>0</v>
      </c>
      <c r="AA18" s="166">
        <f t="shared" si="28"/>
        <v>0</v>
      </c>
      <c r="AB18" s="166">
        <f t="shared" si="29"/>
        <v>0</v>
      </c>
      <c r="AC18" s="166" t="e">
        <f>AA18/Z18%</f>
        <v>#DIV/0!</v>
      </c>
      <c r="AD18" s="165"/>
      <c r="AE18" s="165"/>
      <c r="AF18" s="166">
        <f t="shared" si="30"/>
        <v>0</v>
      </c>
      <c r="AG18" s="166"/>
      <c r="AH18" s="165"/>
      <c r="AI18" s="165"/>
      <c r="AJ18" s="166"/>
      <c r="AK18" s="31" t="e">
        <f t="shared" si="48"/>
        <v>#DIV/0!</v>
      </c>
      <c r="AL18" s="165"/>
      <c r="AM18" s="165"/>
      <c r="AN18" s="166">
        <f t="shared" si="11"/>
        <v>0</v>
      </c>
      <c r="AO18" s="166" t="e">
        <f t="shared" si="12"/>
        <v>#DIV/0!</v>
      </c>
      <c r="AP18" s="168">
        <f t="shared" si="45"/>
        <v>0</v>
      </c>
      <c r="AQ18" s="166">
        <f t="shared" si="32"/>
        <v>0</v>
      </c>
      <c r="AR18" s="166">
        <f t="shared" si="13"/>
        <v>0</v>
      </c>
      <c r="AS18" s="167" t="e">
        <f>AQ18/AP18%</f>
        <v>#DIV/0!</v>
      </c>
      <c r="AT18" s="170">
        <f t="shared" si="33"/>
        <v>0</v>
      </c>
      <c r="AU18" s="166">
        <f t="shared" si="46"/>
        <v>0</v>
      </c>
      <c r="AV18" s="166">
        <f t="shared" si="40"/>
        <v>0</v>
      </c>
      <c r="AW18" s="169" t="e">
        <f>AU18/AT18%</f>
        <v>#DIV/0!</v>
      </c>
      <c r="AX18" s="165"/>
      <c r="AY18" s="165"/>
      <c r="AZ18" s="166"/>
      <c r="BA18" s="166"/>
      <c r="BB18" s="171"/>
      <c r="BC18" s="165"/>
      <c r="BD18" s="166"/>
      <c r="BE18" s="167"/>
      <c r="BF18" s="171"/>
      <c r="BG18" s="165"/>
      <c r="BH18" s="166">
        <f t="shared" si="18"/>
        <v>0</v>
      </c>
      <c r="BI18" s="167" t="e">
        <f t="shared" si="49"/>
        <v>#DIV/0!</v>
      </c>
      <c r="BJ18" s="168">
        <f t="shared" si="34"/>
        <v>0</v>
      </c>
      <c r="BK18" s="166"/>
      <c r="BL18" s="166"/>
      <c r="BM18" s="167"/>
      <c r="BN18" s="164"/>
      <c r="BO18" s="165"/>
      <c r="BP18" s="172"/>
      <c r="BQ18" s="161" t="e">
        <f t="shared" si="50"/>
        <v>#DIV/0!</v>
      </c>
      <c r="BR18" s="271"/>
      <c r="BS18" s="165"/>
      <c r="BT18" s="166"/>
      <c r="BU18" s="166"/>
      <c r="BV18" s="272"/>
      <c r="BW18" s="165"/>
      <c r="BX18" s="166">
        <f t="shared" si="23"/>
        <v>0</v>
      </c>
      <c r="BY18" s="166" t="e">
        <f t="shared" si="24"/>
        <v>#DIV/0!</v>
      </c>
      <c r="BZ18" s="173"/>
      <c r="CE18" s="165"/>
    </row>
    <row r="19" spans="1:83" ht="15.75" customHeight="1" hidden="1">
      <c r="A19" s="174" t="s">
        <v>90</v>
      </c>
      <c r="B19" s="164"/>
      <c r="C19" s="165"/>
      <c r="D19" s="166"/>
      <c r="E19" s="167"/>
      <c r="F19" s="168">
        <f t="shared" si="26"/>
        <v>0</v>
      </c>
      <c r="G19" s="166">
        <f t="shared" si="26"/>
        <v>0</v>
      </c>
      <c r="H19" s="166">
        <f t="shared" si="2"/>
        <v>0</v>
      </c>
      <c r="I19" s="169" t="e">
        <f>G19/F19%</f>
        <v>#DIV/0!</v>
      </c>
      <c r="J19" s="170"/>
      <c r="K19" s="166"/>
      <c r="L19" s="166"/>
      <c r="M19" s="167"/>
      <c r="N19" s="171"/>
      <c r="O19" s="165"/>
      <c r="P19" s="166"/>
      <c r="Q19" s="31" t="e">
        <f t="shared" si="7"/>
        <v>#DIV/0!</v>
      </c>
      <c r="R19" s="165"/>
      <c r="S19" s="165"/>
      <c r="T19" s="166"/>
      <c r="U19" s="31" t="e">
        <f t="shared" si="44"/>
        <v>#DIV/0!</v>
      </c>
      <c r="V19" s="165"/>
      <c r="W19" s="165"/>
      <c r="X19" s="166"/>
      <c r="Y19" s="166"/>
      <c r="Z19" s="166"/>
      <c r="AA19" s="166">
        <f t="shared" si="28"/>
        <v>0</v>
      </c>
      <c r="AB19" s="166">
        <f t="shared" si="29"/>
        <v>0</v>
      </c>
      <c r="AC19" s="166" t="e">
        <f>AA19/Z19%</f>
        <v>#DIV/0!</v>
      </c>
      <c r="AD19" s="165"/>
      <c r="AE19" s="165"/>
      <c r="AF19" s="166">
        <f t="shared" si="30"/>
        <v>0</v>
      </c>
      <c r="AG19" s="166"/>
      <c r="AH19" s="165"/>
      <c r="AI19" s="165"/>
      <c r="AJ19" s="166"/>
      <c r="AK19" s="31" t="e">
        <f t="shared" si="48"/>
        <v>#DIV/0!</v>
      </c>
      <c r="AL19" s="165"/>
      <c r="AM19" s="165"/>
      <c r="AN19" s="166"/>
      <c r="AO19" s="166"/>
      <c r="AP19" s="168">
        <f t="shared" si="45"/>
        <v>0</v>
      </c>
      <c r="AQ19" s="166">
        <f t="shared" si="32"/>
        <v>0</v>
      </c>
      <c r="AR19" s="166">
        <f t="shared" si="13"/>
        <v>0</v>
      </c>
      <c r="AS19" s="167" t="e">
        <f>AQ19/AP19%</f>
        <v>#DIV/0!</v>
      </c>
      <c r="AT19" s="170"/>
      <c r="AU19" s="166">
        <f t="shared" si="46"/>
        <v>0</v>
      </c>
      <c r="AV19" s="166">
        <f t="shared" si="40"/>
        <v>0</v>
      </c>
      <c r="AW19" s="169" t="e">
        <f>AU19/AT19%</f>
        <v>#DIV/0!</v>
      </c>
      <c r="AX19" s="165"/>
      <c r="AY19" s="165"/>
      <c r="AZ19" s="166"/>
      <c r="BA19" s="166"/>
      <c r="BB19" s="171"/>
      <c r="BC19" s="165"/>
      <c r="BD19" s="166"/>
      <c r="BE19" s="167"/>
      <c r="BF19" s="171"/>
      <c r="BG19" s="165"/>
      <c r="BH19" s="166"/>
      <c r="BI19" s="167"/>
      <c r="BJ19" s="168"/>
      <c r="BK19" s="166"/>
      <c r="BL19" s="166"/>
      <c r="BM19" s="167"/>
      <c r="BN19" s="164"/>
      <c r="BO19" s="165"/>
      <c r="BP19" s="172"/>
      <c r="BQ19" s="161" t="e">
        <f t="shared" si="50"/>
        <v>#DIV/0!</v>
      </c>
      <c r="BR19" s="271"/>
      <c r="BS19" s="165"/>
      <c r="BT19" s="166"/>
      <c r="BU19" s="166"/>
      <c r="BV19" s="272"/>
      <c r="BW19" s="165"/>
      <c r="BX19" s="166"/>
      <c r="BY19" s="166"/>
      <c r="BZ19" s="173"/>
      <c r="CE19" s="165"/>
    </row>
    <row r="20" spans="1:83" ht="15.75" customHeight="1" hidden="1">
      <c r="A20" s="174" t="s">
        <v>91</v>
      </c>
      <c r="B20" s="164">
        <f>J20+Z20+AT20+BJ20</f>
        <v>0</v>
      </c>
      <c r="C20" s="165">
        <f>K20+AA20+AU20+BK20</f>
        <v>0</v>
      </c>
      <c r="D20" s="166">
        <f t="shared" si="0"/>
        <v>0</v>
      </c>
      <c r="E20" s="167" t="e">
        <f t="shared" si="1"/>
        <v>#DIV/0!</v>
      </c>
      <c r="F20" s="168">
        <f t="shared" si="26"/>
        <v>0</v>
      </c>
      <c r="G20" s="166">
        <f t="shared" si="26"/>
        <v>0</v>
      </c>
      <c r="H20" s="166">
        <f t="shared" si="2"/>
        <v>0</v>
      </c>
      <c r="I20" s="169" t="e">
        <f>G20/F20%</f>
        <v>#DIV/0!</v>
      </c>
      <c r="J20" s="170">
        <f t="shared" si="42"/>
        <v>0</v>
      </c>
      <c r="K20" s="166">
        <f t="shared" si="43"/>
        <v>0</v>
      </c>
      <c r="L20" s="166">
        <f t="shared" si="4"/>
        <v>0</v>
      </c>
      <c r="M20" s="167" t="e">
        <f t="shared" si="5"/>
        <v>#DIV/0!</v>
      </c>
      <c r="N20" s="171"/>
      <c r="O20" s="165"/>
      <c r="P20" s="166"/>
      <c r="Q20" s="31" t="e">
        <f t="shared" si="7"/>
        <v>#DIV/0!</v>
      </c>
      <c r="R20" s="165"/>
      <c r="S20" s="165"/>
      <c r="T20" s="166"/>
      <c r="U20" s="31" t="e">
        <f t="shared" si="44"/>
        <v>#DIV/0!</v>
      </c>
      <c r="V20" s="165"/>
      <c r="W20" s="165"/>
      <c r="X20" s="166">
        <f t="shared" si="8"/>
        <v>0</v>
      </c>
      <c r="Y20" s="166" t="e">
        <f t="shared" si="9"/>
        <v>#DIV/0!</v>
      </c>
      <c r="Z20" s="166">
        <f t="shared" si="39"/>
        <v>0</v>
      </c>
      <c r="AA20" s="166">
        <f t="shared" si="28"/>
        <v>0</v>
      </c>
      <c r="AB20" s="166">
        <f t="shared" si="29"/>
        <v>0</v>
      </c>
      <c r="AC20" s="166" t="e">
        <f>AA20/Z20%</f>
        <v>#DIV/0!</v>
      </c>
      <c r="AD20" s="165"/>
      <c r="AE20" s="165"/>
      <c r="AF20" s="166">
        <f t="shared" si="30"/>
        <v>0</v>
      </c>
      <c r="AG20" s="166"/>
      <c r="AH20" s="165"/>
      <c r="AI20" s="165"/>
      <c r="AJ20" s="166"/>
      <c r="AK20" s="31" t="e">
        <f t="shared" si="48"/>
        <v>#DIV/0!</v>
      </c>
      <c r="AL20" s="165"/>
      <c r="AM20" s="165"/>
      <c r="AN20" s="166">
        <f t="shared" si="11"/>
        <v>0</v>
      </c>
      <c r="AO20" s="166" t="e">
        <f t="shared" si="12"/>
        <v>#DIV/0!</v>
      </c>
      <c r="AP20" s="168">
        <f t="shared" si="45"/>
        <v>0</v>
      </c>
      <c r="AQ20" s="166">
        <f t="shared" si="32"/>
        <v>0</v>
      </c>
      <c r="AR20" s="166">
        <f t="shared" si="13"/>
        <v>0</v>
      </c>
      <c r="AS20" s="167" t="e">
        <f>AQ20/AP20%</f>
        <v>#DIV/0!</v>
      </c>
      <c r="AT20" s="170">
        <f aca="true" t="shared" si="51" ref="AT20:AT41">AX20+BB20+BF20</f>
        <v>0</v>
      </c>
      <c r="AU20" s="166">
        <f t="shared" si="46"/>
        <v>0</v>
      </c>
      <c r="AV20" s="166">
        <f t="shared" si="40"/>
        <v>0</v>
      </c>
      <c r="AW20" s="169" t="e">
        <f>AU20/AT20%</f>
        <v>#DIV/0!</v>
      </c>
      <c r="AX20" s="165"/>
      <c r="AY20" s="165"/>
      <c r="AZ20" s="166"/>
      <c r="BA20" s="166"/>
      <c r="BB20" s="171"/>
      <c r="BC20" s="165"/>
      <c r="BD20" s="166"/>
      <c r="BE20" s="167"/>
      <c r="BF20" s="171"/>
      <c r="BG20" s="165"/>
      <c r="BH20" s="166">
        <f t="shared" si="18"/>
        <v>0</v>
      </c>
      <c r="BI20" s="167" t="e">
        <f t="shared" si="49"/>
        <v>#DIV/0!</v>
      </c>
      <c r="BJ20" s="168">
        <f t="shared" si="34"/>
        <v>0</v>
      </c>
      <c r="BK20" s="166"/>
      <c r="BL20" s="166"/>
      <c r="BM20" s="167"/>
      <c r="BN20" s="164"/>
      <c r="BO20" s="165"/>
      <c r="BP20" s="172"/>
      <c r="BQ20" s="161" t="e">
        <f t="shared" si="50"/>
        <v>#DIV/0!</v>
      </c>
      <c r="BR20" s="271"/>
      <c r="BS20" s="165"/>
      <c r="BT20" s="166"/>
      <c r="BU20" s="166"/>
      <c r="BV20" s="272"/>
      <c r="BW20" s="165"/>
      <c r="BX20" s="166">
        <f t="shared" si="23"/>
        <v>0</v>
      </c>
      <c r="BY20" s="166" t="e">
        <f t="shared" si="24"/>
        <v>#DIV/0!</v>
      </c>
      <c r="BZ20" s="173"/>
      <c r="CE20" s="165"/>
    </row>
    <row r="21" spans="1:83" ht="35.25" customHeight="1">
      <c r="A21" s="175" t="s">
        <v>95</v>
      </c>
      <c r="B21" s="29">
        <f>J21+Z21+AT21+BJ21</f>
        <v>399.6</v>
      </c>
      <c r="C21" s="30">
        <f>K21+AA21+AU21+BK21</f>
        <v>60</v>
      </c>
      <c r="D21" s="32">
        <f t="shared" si="0"/>
        <v>-339.6</v>
      </c>
      <c r="E21" s="143">
        <f t="shared" si="1"/>
        <v>15.015015015015013</v>
      </c>
      <c r="F21" s="33">
        <f t="shared" si="26"/>
        <v>180</v>
      </c>
      <c r="G21" s="34">
        <f t="shared" si="26"/>
        <v>15</v>
      </c>
      <c r="H21" s="34">
        <f t="shared" si="2"/>
        <v>-165</v>
      </c>
      <c r="I21" s="35">
        <f>G21/F21%</f>
        <v>8.333333333333334</v>
      </c>
      <c r="J21" s="36">
        <f t="shared" si="42"/>
        <v>85</v>
      </c>
      <c r="K21" s="37">
        <f t="shared" si="43"/>
        <v>5</v>
      </c>
      <c r="L21" s="37">
        <f t="shared" si="4"/>
        <v>-80</v>
      </c>
      <c r="M21" s="42">
        <f t="shared" si="5"/>
        <v>5.882352941176471</v>
      </c>
      <c r="N21" s="38">
        <v>10</v>
      </c>
      <c r="O21" s="30">
        <v>5</v>
      </c>
      <c r="P21" s="31">
        <f t="shared" si="6"/>
        <v>-5</v>
      </c>
      <c r="Q21" s="31">
        <f t="shared" si="7"/>
        <v>50</v>
      </c>
      <c r="R21" s="30">
        <v>35</v>
      </c>
      <c r="S21" s="30"/>
      <c r="T21" s="31">
        <f t="shared" si="27"/>
        <v>-35</v>
      </c>
      <c r="U21" s="31">
        <f t="shared" si="44"/>
        <v>0</v>
      </c>
      <c r="V21" s="30">
        <v>40</v>
      </c>
      <c r="W21" s="30"/>
      <c r="X21" s="31">
        <f t="shared" si="8"/>
        <v>-40</v>
      </c>
      <c r="Y21" s="31">
        <f t="shared" si="9"/>
        <v>0</v>
      </c>
      <c r="Z21" s="37">
        <f t="shared" si="39"/>
        <v>95</v>
      </c>
      <c r="AA21" s="37">
        <f t="shared" si="28"/>
        <v>10</v>
      </c>
      <c r="AB21" s="37">
        <f t="shared" si="29"/>
        <v>-85</v>
      </c>
      <c r="AC21" s="37">
        <f>AA21/Z21%</f>
        <v>10.526315789473685</v>
      </c>
      <c r="AD21" s="30">
        <v>25</v>
      </c>
      <c r="AE21" s="30"/>
      <c r="AF21" s="31">
        <f t="shared" si="30"/>
        <v>-25</v>
      </c>
      <c r="AG21" s="31">
        <f>AE21/AD21%</f>
        <v>0</v>
      </c>
      <c r="AH21" s="30">
        <v>35</v>
      </c>
      <c r="AI21" s="30"/>
      <c r="AJ21" s="31">
        <f t="shared" si="10"/>
        <v>-35</v>
      </c>
      <c r="AK21" s="31">
        <f t="shared" si="48"/>
        <v>0</v>
      </c>
      <c r="AL21" s="30">
        <v>35</v>
      </c>
      <c r="AM21" s="30">
        <v>10</v>
      </c>
      <c r="AN21" s="31">
        <f t="shared" si="11"/>
        <v>-25</v>
      </c>
      <c r="AO21" s="31">
        <f t="shared" si="12"/>
        <v>28.571428571428573</v>
      </c>
      <c r="AP21" s="39">
        <f t="shared" si="45"/>
        <v>285</v>
      </c>
      <c r="AQ21" s="40">
        <f t="shared" si="32"/>
        <v>60</v>
      </c>
      <c r="AR21" s="40">
        <f t="shared" si="13"/>
        <v>-225</v>
      </c>
      <c r="AS21" s="41">
        <f>AQ21/AP21%</f>
        <v>21.052631578947366</v>
      </c>
      <c r="AT21" s="36">
        <f t="shared" si="51"/>
        <v>105</v>
      </c>
      <c r="AU21" s="37">
        <f t="shared" si="46"/>
        <v>45</v>
      </c>
      <c r="AV21" s="37">
        <f t="shared" si="40"/>
        <v>-60</v>
      </c>
      <c r="AW21" s="490">
        <f aca="true" t="shared" si="52" ref="AW21:AW40">AU21/AT21%</f>
        <v>42.857142857142854</v>
      </c>
      <c r="AX21" s="30">
        <v>30</v>
      </c>
      <c r="AY21" s="30">
        <v>45</v>
      </c>
      <c r="AZ21" s="31">
        <f t="shared" si="47"/>
        <v>15</v>
      </c>
      <c r="BA21" s="31">
        <f t="shared" si="41"/>
        <v>150</v>
      </c>
      <c r="BB21" s="38">
        <v>35</v>
      </c>
      <c r="BC21" s="30"/>
      <c r="BD21" s="31">
        <f t="shared" si="16"/>
        <v>-35</v>
      </c>
      <c r="BE21" s="27">
        <f>BC21/BB21%</f>
        <v>0</v>
      </c>
      <c r="BF21" s="38">
        <v>40</v>
      </c>
      <c r="BG21" s="30"/>
      <c r="BH21" s="31">
        <f t="shared" si="18"/>
        <v>-40</v>
      </c>
      <c r="BI21" s="27">
        <f t="shared" si="49"/>
        <v>0</v>
      </c>
      <c r="BJ21" s="44">
        <f t="shared" si="34"/>
        <v>114.6</v>
      </c>
      <c r="BK21" s="37">
        <f t="shared" si="35"/>
        <v>0</v>
      </c>
      <c r="BL21" s="37">
        <f t="shared" si="36"/>
        <v>-114.6</v>
      </c>
      <c r="BM21" s="42">
        <f>BK21/BJ21%</f>
        <v>0</v>
      </c>
      <c r="BN21" s="29">
        <v>40</v>
      </c>
      <c r="BO21" s="30"/>
      <c r="BP21" s="31">
        <f t="shared" si="20"/>
        <v>-40</v>
      </c>
      <c r="BQ21" s="161">
        <f t="shared" si="50"/>
        <v>0</v>
      </c>
      <c r="BR21" s="271">
        <v>40</v>
      </c>
      <c r="BS21" s="30"/>
      <c r="BT21" s="31">
        <f t="shared" si="21"/>
        <v>-40</v>
      </c>
      <c r="BU21" s="31" t="s">
        <v>27</v>
      </c>
      <c r="BV21" s="272">
        <v>34.6</v>
      </c>
      <c r="BW21" s="30"/>
      <c r="BX21" s="31">
        <f t="shared" si="23"/>
        <v>-34.6</v>
      </c>
      <c r="BY21" s="31">
        <f t="shared" si="24"/>
        <v>0</v>
      </c>
      <c r="CE21" s="30"/>
    </row>
    <row r="22" spans="1:83" ht="15.75" customHeight="1" hidden="1">
      <c r="A22" s="176" t="s">
        <v>30</v>
      </c>
      <c r="B22" s="21">
        <f>SUM(B23:B24)</f>
        <v>0</v>
      </c>
      <c r="C22" s="22">
        <f>SUM(C23:C24)</f>
        <v>0</v>
      </c>
      <c r="D22" s="8">
        <f t="shared" si="0"/>
        <v>0</v>
      </c>
      <c r="E22" s="143"/>
      <c r="F22" s="33">
        <f t="shared" si="26"/>
        <v>0</v>
      </c>
      <c r="G22" s="34">
        <f t="shared" si="26"/>
        <v>0</v>
      </c>
      <c r="H22" s="34">
        <f t="shared" si="2"/>
        <v>0</v>
      </c>
      <c r="I22" s="35"/>
      <c r="J22" s="23">
        <f t="shared" si="42"/>
        <v>0</v>
      </c>
      <c r="K22" s="486">
        <f t="shared" si="43"/>
        <v>0</v>
      </c>
      <c r="L22" s="486">
        <f t="shared" si="4"/>
        <v>0</v>
      </c>
      <c r="M22" s="487"/>
      <c r="N22" s="24">
        <f>SUM(N23:N24)</f>
        <v>0</v>
      </c>
      <c r="O22" s="22">
        <f>SUM(O23:O24)</f>
        <v>0</v>
      </c>
      <c r="P22" s="7">
        <f t="shared" si="6"/>
        <v>0</v>
      </c>
      <c r="Q22" s="7" t="e">
        <f t="shared" si="7"/>
        <v>#DIV/0!</v>
      </c>
      <c r="R22" s="22">
        <f>SUM(R23:R24)</f>
        <v>0</v>
      </c>
      <c r="S22" s="22">
        <f>SUM(S23:S24)</f>
        <v>0</v>
      </c>
      <c r="T22" s="31">
        <f t="shared" si="27"/>
        <v>0</v>
      </c>
      <c r="U22" s="7" t="e">
        <f t="shared" si="44"/>
        <v>#DIV/0!</v>
      </c>
      <c r="V22" s="22">
        <f>SUM(V23:V24)</f>
        <v>0</v>
      </c>
      <c r="W22" s="22">
        <f>SUM(W23:W24)</f>
        <v>0</v>
      </c>
      <c r="X22" s="31">
        <f t="shared" si="8"/>
        <v>0</v>
      </c>
      <c r="Y22" s="31" t="e">
        <f t="shared" si="9"/>
        <v>#DIV/0!</v>
      </c>
      <c r="Z22" s="486">
        <f t="shared" si="39"/>
        <v>0</v>
      </c>
      <c r="AA22" s="486">
        <f t="shared" si="28"/>
        <v>0</v>
      </c>
      <c r="AB22" s="486">
        <f t="shared" si="29"/>
        <v>0</v>
      </c>
      <c r="AC22" s="486"/>
      <c r="AD22" s="22">
        <f>SUM(AD23:AD24)</f>
        <v>0</v>
      </c>
      <c r="AE22" s="22">
        <f>SUM(AE23:AE24)</f>
        <v>0</v>
      </c>
      <c r="AF22" s="31">
        <f t="shared" si="30"/>
        <v>0</v>
      </c>
      <c r="AG22" s="31"/>
      <c r="AH22" s="22">
        <f>SUM(AH23:AH24)</f>
        <v>0</v>
      </c>
      <c r="AI22" s="22">
        <f>SUM(AI23:AI24)</f>
        <v>0</v>
      </c>
      <c r="AJ22" s="7">
        <f t="shared" si="10"/>
        <v>0</v>
      </c>
      <c r="AK22" s="7" t="e">
        <f t="shared" si="48"/>
        <v>#DIV/0!</v>
      </c>
      <c r="AL22" s="22">
        <f>SUM(AL23:AL24)</f>
        <v>0</v>
      </c>
      <c r="AM22" s="22">
        <f>SUM(AM23:AM24)</f>
        <v>0</v>
      </c>
      <c r="AN22" s="31">
        <f t="shared" si="11"/>
        <v>0</v>
      </c>
      <c r="AO22" s="31" t="e">
        <f t="shared" si="12"/>
        <v>#DIV/0!</v>
      </c>
      <c r="AP22" s="14">
        <f t="shared" si="45"/>
        <v>0</v>
      </c>
      <c r="AQ22" s="15">
        <f t="shared" si="32"/>
        <v>0</v>
      </c>
      <c r="AR22" s="15">
        <f t="shared" si="13"/>
        <v>0</v>
      </c>
      <c r="AS22" s="16"/>
      <c r="AT22" s="36">
        <f t="shared" si="51"/>
        <v>0</v>
      </c>
      <c r="AU22" s="25">
        <f>AY22+BC22+BG22</f>
        <v>0</v>
      </c>
      <c r="AV22" s="486">
        <f t="shared" si="40"/>
        <v>0</v>
      </c>
      <c r="AW22" s="488" t="e">
        <f t="shared" si="52"/>
        <v>#DIV/0!</v>
      </c>
      <c r="AX22" s="22">
        <f>SUM(AX23:AX24)</f>
        <v>0</v>
      </c>
      <c r="AY22" s="22">
        <f>SUM(AY23:AY24)</f>
        <v>0</v>
      </c>
      <c r="AZ22" s="31">
        <f t="shared" si="47"/>
        <v>0</v>
      </c>
      <c r="BA22" s="31" t="e">
        <f t="shared" si="41"/>
        <v>#DIV/0!</v>
      </c>
      <c r="BB22" s="24">
        <f>SUM(BB23:BB24)</f>
        <v>0</v>
      </c>
      <c r="BC22" s="22">
        <f>SUM(BC23:BC24)</f>
        <v>0</v>
      </c>
      <c r="BD22" s="7">
        <f t="shared" si="16"/>
        <v>0</v>
      </c>
      <c r="BE22" s="27"/>
      <c r="BF22" s="24">
        <f>SUM(BF23:BF24)</f>
        <v>0</v>
      </c>
      <c r="BG22" s="22">
        <f>SUM(BG23:BG24)</f>
        <v>0</v>
      </c>
      <c r="BH22" s="7">
        <f t="shared" si="18"/>
        <v>0</v>
      </c>
      <c r="BI22" s="27"/>
      <c r="BJ22" s="25">
        <f t="shared" si="34"/>
        <v>0</v>
      </c>
      <c r="BK22" s="486">
        <f t="shared" si="35"/>
        <v>0</v>
      </c>
      <c r="BL22" s="486">
        <f t="shared" si="36"/>
        <v>0</v>
      </c>
      <c r="BM22" s="487"/>
      <c r="BN22" s="21">
        <f>SUM(BN23:BN24)</f>
        <v>0</v>
      </c>
      <c r="BO22" s="22">
        <f>SUM(BO23:BO24)</f>
        <v>0</v>
      </c>
      <c r="BP22" s="7">
        <f t="shared" si="20"/>
        <v>0</v>
      </c>
      <c r="BQ22" s="43"/>
      <c r="BR22" s="146">
        <f>SUM(BR23:BR24)</f>
        <v>0</v>
      </c>
      <c r="BS22" s="22">
        <f>SUM(BS23:BS24)</f>
        <v>0</v>
      </c>
      <c r="BT22" s="7">
        <f t="shared" si="21"/>
        <v>0</v>
      </c>
      <c r="BU22" s="31"/>
      <c r="BV22" s="270">
        <f>SUM(BV23:BV24)</f>
        <v>0</v>
      </c>
      <c r="BW22" s="22">
        <f>SUM(BW23:BW24)</f>
        <v>0</v>
      </c>
      <c r="BX22" s="7">
        <f t="shared" si="23"/>
        <v>0</v>
      </c>
      <c r="BY22" s="31"/>
      <c r="CE22" s="22">
        <f>SUM(CE23:CE24)</f>
        <v>0</v>
      </c>
    </row>
    <row r="23" spans="1:83" ht="15.75" customHeight="1" hidden="1">
      <c r="A23" s="175" t="s">
        <v>31</v>
      </c>
      <c r="B23" s="29"/>
      <c r="C23" s="30"/>
      <c r="D23" s="32">
        <f t="shared" si="0"/>
        <v>0</v>
      </c>
      <c r="E23" s="143"/>
      <c r="F23" s="33">
        <f t="shared" si="26"/>
        <v>0</v>
      </c>
      <c r="G23" s="34">
        <f t="shared" si="26"/>
        <v>0</v>
      </c>
      <c r="H23" s="34">
        <f t="shared" si="2"/>
        <v>0</v>
      </c>
      <c r="I23" s="35"/>
      <c r="J23" s="36">
        <f t="shared" si="42"/>
        <v>0</v>
      </c>
      <c r="K23" s="37">
        <f t="shared" si="43"/>
        <v>0</v>
      </c>
      <c r="L23" s="37">
        <f t="shared" si="4"/>
        <v>0</v>
      </c>
      <c r="M23" s="42"/>
      <c r="N23" s="38"/>
      <c r="O23" s="30"/>
      <c r="P23" s="31">
        <f>O23-N23</f>
        <v>0</v>
      </c>
      <c r="Q23" s="7" t="e">
        <f t="shared" si="7"/>
        <v>#DIV/0!</v>
      </c>
      <c r="R23" s="30"/>
      <c r="S23" s="30"/>
      <c r="T23" s="31">
        <f t="shared" si="27"/>
        <v>0</v>
      </c>
      <c r="U23" s="7" t="e">
        <f t="shared" si="44"/>
        <v>#DIV/0!</v>
      </c>
      <c r="V23" s="30"/>
      <c r="W23" s="30"/>
      <c r="X23" s="31">
        <f t="shared" si="8"/>
        <v>0</v>
      </c>
      <c r="Y23" s="31" t="e">
        <f t="shared" si="9"/>
        <v>#DIV/0!</v>
      </c>
      <c r="Z23" s="37">
        <f t="shared" si="39"/>
        <v>0</v>
      </c>
      <c r="AA23" s="37">
        <f t="shared" si="28"/>
        <v>0</v>
      </c>
      <c r="AB23" s="37">
        <f t="shared" si="29"/>
        <v>0</v>
      </c>
      <c r="AC23" s="37"/>
      <c r="AD23" s="30"/>
      <c r="AE23" s="30"/>
      <c r="AF23" s="31">
        <f t="shared" si="30"/>
        <v>0</v>
      </c>
      <c r="AG23" s="31"/>
      <c r="AH23" s="30"/>
      <c r="AI23" s="30"/>
      <c r="AJ23" s="7">
        <f t="shared" si="10"/>
        <v>0</v>
      </c>
      <c r="AK23" s="7" t="e">
        <f t="shared" si="48"/>
        <v>#DIV/0!</v>
      </c>
      <c r="AL23" s="30"/>
      <c r="AM23" s="30"/>
      <c r="AN23" s="31">
        <f t="shared" si="11"/>
        <v>0</v>
      </c>
      <c r="AO23" s="31" t="e">
        <f t="shared" si="12"/>
        <v>#DIV/0!</v>
      </c>
      <c r="AP23" s="39">
        <f t="shared" si="45"/>
        <v>0</v>
      </c>
      <c r="AQ23" s="40">
        <f t="shared" si="32"/>
        <v>0</v>
      </c>
      <c r="AR23" s="40">
        <f t="shared" si="13"/>
        <v>0</v>
      </c>
      <c r="AS23" s="41"/>
      <c r="AT23" s="36">
        <f t="shared" si="51"/>
        <v>0</v>
      </c>
      <c r="AU23" s="37">
        <f>SUM(AY23+BC23+BG23)</f>
        <v>0</v>
      </c>
      <c r="AV23" s="37">
        <f t="shared" si="40"/>
        <v>0</v>
      </c>
      <c r="AW23" s="490" t="e">
        <f t="shared" si="52"/>
        <v>#DIV/0!</v>
      </c>
      <c r="AX23" s="30"/>
      <c r="AY23" s="30"/>
      <c r="AZ23" s="31">
        <f t="shared" si="47"/>
        <v>0</v>
      </c>
      <c r="BA23" s="31" t="e">
        <f t="shared" si="41"/>
        <v>#DIV/0!</v>
      </c>
      <c r="BB23" s="38"/>
      <c r="BC23" s="30">
        <v>0</v>
      </c>
      <c r="BD23" s="31">
        <f t="shared" si="16"/>
        <v>0</v>
      </c>
      <c r="BE23" s="27"/>
      <c r="BF23" s="38"/>
      <c r="BG23" s="30"/>
      <c r="BH23" s="31">
        <f t="shared" si="18"/>
        <v>0</v>
      </c>
      <c r="BI23" s="27" t="e">
        <f>BG23/BF23%</f>
        <v>#DIV/0!</v>
      </c>
      <c r="BJ23" s="44">
        <f t="shared" si="34"/>
        <v>0</v>
      </c>
      <c r="BK23" s="37">
        <f t="shared" si="35"/>
        <v>0</v>
      </c>
      <c r="BL23" s="37">
        <f t="shared" si="36"/>
        <v>0</v>
      </c>
      <c r="BM23" s="42"/>
      <c r="BN23" s="29"/>
      <c r="BO23" s="30"/>
      <c r="BP23" s="31">
        <f>BO23-BN23</f>
        <v>0</v>
      </c>
      <c r="BQ23" s="43"/>
      <c r="BR23" s="271"/>
      <c r="BS23" s="30"/>
      <c r="BT23" s="31">
        <f>BS23-BR23</f>
        <v>0</v>
      </c>
      <c r="BU23" s="31"/>
      <c r="BV23" s="272"/>
      <c r="BW23" s="30"/>
      <c r="BX23" s="31">
        <f>BW23-BV23</f>
        <v>0</v>
      </c>
      <c r="BY23" s="31"/>
      <c r="CE23" s="30"/>
    </row>
    <row r="24" spans="1:83" ht="15.75" customHeight="1" hidden="1">
      <c r="A24" s="177" t="s">
        <v>32</v>
      </c>
      <c r="B24" s="29"/>
      <c r="C24" s="30"/>
      <c r="D24" s="32">
        <f t="shared" si="0"/>
        <v>0</v>
      </c>
      <c r="E24" s="143"/>
      <c r="F24" s="33">
        <f t="shared" si="26"/>
        <v>0</v>
      </c>
      <c r="G24" s="34">
        <f t="shared" si="26"/>
        <v>0</v>
      </c>
      <c r="H24" s="34">
        <f t="shared" si="2"/>
        <v>0</v>
      </c>
      <c r="I24" s="35"/>
      <c r="J24" s="36">
        <f t="shared" si="42"/>
        <v>0</v>
      </c>
      <c r="K24" s="37">
        <f t="shared" si="43"/>
        <v>0</v>
      </c>
      <c r="L24" s="37">
        <f t="shared" si="4"/>
        <v>0</v>
      </c>
      <c r="M24" s="42"/>
      <c r="N24" s="38"/>
      <c r="O24" s="30"/>
      <c r="P24" s="31"/>
      <c r="Q24" s="7" t="e">
        <f t="shared" si="7"/>
        <v>#DIV/0!</v>
      </c>
      <c r="R24" s="30"/>
      <c r="S24" s="30"/>
      <c r="T24" s="31">
        <f t="shared" si="27"/>
        <v>0</v>
      </c>
      <c r="U24" s="7" t="e">
        <f t="shared" si="44"/>
        <v>#DIV/0!</v>
      </c>
      <c r="V24" s="30"/>
      <c r="W24" s="30"/>
      <c r="X24" s="31">
        <f t="shared" si="8"/>
        <v>0</v>
      </c>
      <c r="Y24" s="31" t="e">
        <f t="shared" si="9"/>
        <v>#DIV/0!</v>
      </c>
      <c r="Z24" s="37">
        <f t="shared" si="39"/>
        <v>0</v>
      </c>
      <c r="AA24" s="37">
        <f t="shared" si="28"/>
        <v>0</v>
      </c>
      <c r="AB24" s="37">
        <f t="shared" si="29"/>
        <v>0</v>
      </c>
      <c r="AC24" s="37"/>
      <c r="AD24" s="30"/>
      <c r="AE24" s="30"/>
      <c r="AF24" s="31">
        <f t="shared" si="30"/>
        <v>0</v>
      </c>
      <c r="AG24" s="31"/>
      <c r="AH24" s="30"/>
      <c r="AI24" s="30"/>
      <c r="AJ24" s="7">
        <f t="shared" si="10"/>
        <v>0</v>
      </c>
      <c r="AK24" s="7" t="e">
        <f t="shared" si="48"/>
        <v>#DIV/0!</v>
      </c>
      <c r="AL24" s="30"/>
      <c r="AM24" s="30"/>
      <c r="AN24" s="31">
        <f t="shared" si="11"/>
        <v>0</v>
      </c>
      <c r="AO24" s="31" t="e">
        <f t="shared" si="12"/>
        <v>#DIV/0!</v>
      </c>
      <c r="AP24" s="39">
        <f t="shared" si="45"/>
        <v>0</v>
      </c>
      <c r="AQ24" s="40">
        <f t="shared" si="32"/>
        <v>0</v>
      </c>
      <c r="AR24" s="40">
        <f t="shared" si="13"/>
        <v>0</v>
      </c>
      <c r="AS24" s="41"/>
      <c r="AT24" s="36">
        <f t="shared" si="51"/>
        <v>0</v>
      </c>
      <c r="AU24" s="37">
        <f>SUM(AY24+BC24+BG24)</f>
        <v>0</v>
      </c>
      <c r="AV24" s="37">
        <f t="shared" si="40"/>
        <v>0</v>
      </c>
      <c r="AW24" s="490" t="e">
        <f t="shared" si="52"/>
        <v>#DIV/0!</v>
      </c>
      <c r="AX24" s="30"/>
      <c r="AY24" s="30"/>
      <c r="AZ24" s="31">
        <f t="shared" si="47"/>
        <v>0</v>
      </c>
      <c r="BA24" s="31" t="e">
        <f t="shared" si="41"/>
        <v>#DIV/0!</v>
      </c>
      <c r="BB24" s="38"/>
      <c r="BC24" s="30"/>
      <c r="BD24" s="31"/>
      <c r="BE24" s="27"/>
      <c r="BF24" s="38"/>
      <c r="BG24" s="30"/>
      <c r="BH24" s="31"/>
      <c r="BI24" s="27"/>
      <c r="BJ24" s="44">
        <f t="shared" si="34"/>
        <v>0</v>
      </c>
      <c r="BK24" s="37">
        <f t="shared" si="35"/>
        <v>0</v>
      </c>
      <c r="BL24" s="37">
        <f t="shared" si="36"/>
        <v>0</v>
      </c>
      <c r="BM24" s="42"/>
      <c r="BN24" s="29"/>
      <c r="BO24" s="30"/>
      <c r="BP24" s="31"/>
      <c r="BQ24" s="43"/>
      <c r="BR24" s="271"/>
      <c r="BS24" s="30"/>
      <c r="BT24" s="31"/>
      <c r="BU24" s="31"/>
      <c r="BV24" s="272"/>
      <c r="BW24" s="30"/>
      <c r="BX24" s="31"/>
      <c r="BY24" s="31"/>
      <c r="CE24" s="30"/>
    </row>
    <row r="25" spans="1:83" s="20" customFormat="1" ht="37.5" customHeight="1">
      <c r="A25" s="491" t="s">
        <v>33</v>
      </c>
      <c r="B25" s="21">
        <f>B26+B28+B29+B31+B32+B27</f>
        <v>24266.9</v>
      </c>
      <c r="C25" s="22">
        <f>C26+C28+C29+C31+C32+C27+C30</f>
        <v>13659.699999999999</v>
      </c>
      <c r="D25" s="8">
        <f t="shared" si="0"/>
        <v>-10607.200000000003</v>
      </c>
      <c r="E25" s="19">
        <f t="shared" si="1"/>
        <v>56.28943128294095</v>
      </c>
      <c r="F25" s="9">
        <f t="shared" si="26"/>
        <v>9041.3</v>
      </c>
      <c r="G25" s="10">
        <f t="shared" si="26"/>
        <v>11659.8</v>
      </c>
      <c r="H25" s="10">
        <f t="shared" si="2"/>
        <v>2618.5</v>
      </c>
      <c r="I25" s="11">
        <f>G25/F25%</f>
        <v>128.96154314091999</v>
      </c>
      <c r="J25" s="23">
        <f t="shared" si="42"/>
        <v>4329.8</v>
      </c>
      <c r="K25" s="486">
        <f>SUM(O25+S25+W25)</f>
        <v>6408.9</v>
      </c>
      <c r="L25" s="486">
        <f t="shared" si="4"/>
        <v>2079.0999999999995</v>
      </c>
      <c r="M25" s="487">
        <f>K25/J25%</f>
        <v>148.01838422098018</v>
      </c>
      <c r="N25" s="24">
        <f>N26+N28+N29+N31+N32</f>
        <v>1207.7</v>
      </c>
      <c r="O25" s="22">
        <f>O26+O28+O29+O31+O32</f>
        <v>1653.6</v>
      </c>
      <c r="P25" s="7">
        <f aca="true" t="shared" si="53" ref="P25:P40">O25-N25</f>
        <v>445.89999999999986</v>
      </c>
      <c r="Q25" s="7">
        <f t="shared" si="7"/>
        <v>136.92142088266954</v>
      </c>
      <c r="R25" s="22">
        <f>R26+R28+R29+R31+R32</f>
        <v>1280.7</v>
      </c>
      <c r="S25" s="22">
        <f>S26+S28+S29+S31+S32</f>
        <v>1822</v>
      </c>
      <c r="T25" s="7">
        <f t="shared" si="27"/>
        <v>541.3</v>
      </c>
      <c r="U25" s="7">
        <f t="shared" si="44"/>
        <v>142.26594830951822</v>
      </c>
      <c r="V25" s="22">
        <f>V26+V28+V29+V31+V32</f>
        <v>1841.3999999999999</v>
      </c>
      <c r="W25" s="22">
        <f>W26+W28+W29+W31+W32</f>
        <v>2933.3</v>
      </c>
      <c r="X25" s="7">
        <f t="shared" si="8"/>
        <v>1091.9000000000003</v>
      </c>
      <c r="Y25" s="7">
        <f t="shared" si="9"/>
        <v>159.29727381340288</v>
      </c>
      <c r="Z25" s="486">
        <f t="shared" si="39"/>
        <v>4711.5</v>
      </c>
      <c r="AA25" s="486">
        <f t="shared" si="28"/>
        <v>5250.9</v>
      </c>
      <c r="AB25" s="486">
        <f t="shared" si="29"/>
        <v>539.3999999999996</v>
      </c>
      <c r="AC25" s="486">
        <f>AA25/Z25%</f>
        <v>111.44858325374084</v>
      </c>
      <c r="AD25" s="22">
        <f>AD26+AD28+AD29+AD31+AD32</f>
        <v>1992</v>
      </c>
      <c r="AE25" s="22">
        <f>AE26+AE28+AE29+AE31+AE32</f>
        <v>1217.3</v>
      </c>
      <c r="AF25" s="7">
        <f t="shared" si="30"/>
        <v>-774.7</v>
      </c>
      <c r="AG25" s="7">
        <f aca="true" t="shared" si="54" ref="AG25:AG38">AE25/AD25%</f>
        <v>61.10943775100401</v>
      </c>
      <c r="AH25" s="22">
        <f>AH26+AH28+AH29+AH31+AH32</f>
        <v>772</v>
      </c>
      <c r="AI25" s="22">
        <f>AI26+AI28+AI29+AI31+AI32</f>
        <v>1700.1</v>
      </c>
      <c r="AJ25" s="7">
        <f t="shared" si="10"/>
        <v>928.0999999999999</v>
      </c>
      <c r="AK25" s="7" t="s">
        <v>27</v>
      </c>
      <c r="AL25" s="22">
        <f>AL26+AL28+AL29+AL31+AL32</f>
        <v>1947.5</v>
      </c>
      <c r="AM25" s="22">
        <f>AM26+AM28+AM29+AM31+AM32+AM30</f>
        <v>2333.5</v>
      </c>
      <c r="AN25" s="7">
        <f t="shared" si="11"/>
        <v>386</v>
      </c>
      <c r="AO25" s="7">
        <f t="shared" si="12"/>
        <v>119.82028241335044</v>
      </c>
      <c r="AP25" s="14">
        <f t="shared" si="45"/>
        <v>15633.399999999998</v>
      </c>
      <c r="AQ25" s="15">
        <f t="shared" si="45"/>
        <v>13659.699999999999</v>
      </c>
      <c r="AR25" s="15">
        <f t="shared" si="13"/>
        <v>-1973.699999999999</v>
      </c>
      <c r="AS25" s="16">
        <f>AQ25/AP25%</f>
        <v>87.37510714240025</v>
      </c>
      <c r="AT25" s="23">
        <f t="shared" si="51"/>
        <v>6592.099999999999</v>
      </c>
      <c r="AU25" s="486">
        <f>SUM(AY25+BC25+BG25)</f>
        <v>1999.9</v>
      </c>
      <c r="AV25" s="486">
        <f t="shared" si="40"/>
        <v>-4592.199999999999</v>
      </c>
      <c r="AW25" s="488">
        <f t="shared" si="52"/>
        <v>30.337828613036823</v>
      </c>
      <c r="AX25" s="22">
        <f>AX26+AX28+AX29+AX31+AX32</f>
        <v>3160.7</v>
      </c>
      <c r="AY25" s="22">
        <f>AY26+AY28+AY29+AY31+AY32+AY30</f>
        <v>1999.9</v>
      </c>
      <c r="AZ25" s="7">
        <f t="shared" si="47"/>
        <v>-1160.7999999999997</v>
      </c>
      <c r="BA25" s="7">
        <f t="shared" si="41"/>
        <v>63.273958300376506</v>
      </c>
      <c r="BB25" s="24">
        <f>BB26+BB28+BB29+BB31+BB32</f>
        <v>1151.7</v>
      </c>
      <c r="BC25" s="22">
        <f>BC26+BC28+BC29+BC31+BC32</f>
        <v>0</v>
      </c>
      <c r="BD25" s="7">
        <f>BC25-BB25</f>
        <v>-1151.7</v>
      </c>
      <c r="BE25" s="17">
        <f>BC25/BB25%</f>
        <v>0</v>
      </c>
      <c r="BF25" s="24">
        <f>BF26+BF28+BF29+BF31+BF32</f>
        <v>2279.7</v>
      </c>
      <c r="BG25" s="24">
        <f>BG26+BG28+BG29+BG31+BG32</f>
        <v>0</v>
      </c>
      <c r="BH25" s="7">
        <f>BG25-BF25</f>
        <v>-2279.7</v>
      </c>
      <c r="BI25" s="17">
        <f>BG25/BF25%</f>
        <v>0</v>
      </c>
      <c r="BJ25" s="25">
        <f t="shared" si="34"/>
        <v>8633.5</v>
      </c>
      <c r="BK25" s="486">
        <f t="shared" si="35"/>
        <v>0</v>
      </c>
      <c r="BL25" s="486">
        <f t="shared" si="36"/>
        <v>-8633.5</v>
      </c>
      <c r="BM25" s="487">
        <f>BK25/BJ25%</f>
        <v>0</v>
      </c>
      <c r="BN25" s="24">
        <f>BN26+BN28+BN29+BN31+BN32</f>
        <v>2377.7</v>
      </c>
      <c r="BO25" s="24">
        <f>BO26+BO28+BO29+BO31+BO32+BO27</f>
        <v>0</v>
      </c>
      <c r="BP25" s="7">
        <f>BO25-BN25</f>
        <v>-2377.7</v>
      </c>
      <c r="BQ25" s="18">
        <f>BO25/BN25%</f>
        <v>0</v>
      </c>
      <c r="BR25" s="146">
        <f>BR26+BR28+BR29+BR31+BR32+BR27</f>
        <v>2817.7</v>
      </c>
      <c r="BS25" s="22">
        <f>BS26+BS28+BS29+BS31+BS32+BS27</f>
        <v>0</v>
      </c>
      <c r="BT25" s="7">
        <f>BS25-BR25</f>
        <v>-2817.7</v>
      </c>
      <c r="BU25" s="7">
        <f>BS25/BR25%</f>
        <v>0</v>
      </c>
      <c r="BV25" s="270">
        <f>BV26+BV28+BV29+BV31+BV32</f>
        <v>3438.1</v>
      </c>
      <c r="BW25" s="24">
        <f>BW26+BW28+BW29+BW31+BW32</f>
        <v>0</v>
      </c>
      <c r="BX25" s="7">
        <f>BW25-BV25</f>
        <v>-3438.1</v>
      </c>
      <c r="BY25" s="7">
        <f>BW25/BV25%</f>
        <v>0</v>
      </c>
      <c r="CE25" s="24">
        <f>CE26+CE28+CE29+CE31+CE32</f>
        <v>0</v>
      </c>
    </row>
    <row r="26" spans="1:83" ht="15.75" customHeight="1" hidden="1">
      <c r="A26" s="178" t="s">
        <v>34</v>
      </c>
      <c r="B26" s="51"/>
      <c r="C26" s="52"/>
      <c r="D26" s="32">
        <f t="shared" si="0"/>
        <v>0</v>
      </c>
      <c r="E26" s="143"/>
      <c r="F26" s="33">
        <f t="shared" si="26"/>
        <v>0</v>
      </c>
      <c r="G26" s="34">
        <f t="shared" si="26"/>
        <v>0</v>
      </c>
      <c r="H26" s="34">
        <f t="shared" si="2"/>
        <v>0</v>
      </c>
      <c r="I26" s="35"/>
      <c r="J26" s="36">
        <f t="shared" si="42"/>
        <v>0</v>
      </c>
      <c r="K26" s="37">
        <f t="shared" si="43"/>
        <v>0</v>
      </c>
      <c r="L26" s="37">
        <f t="shared" si="4"/>
        <v>0</v>
      </c>
      <c r="M26" s="42"/>
      <c r="N26" s="53"/>
      <c r="O26" s="52"/>
      <c r="P26" s="7">
        <f t="shared" si="53"/>
        <v>0</v>
      </c>
      <c r="Q26" s="7" t="e">
        <f t="shared" si="7"/>
        <v>#DIV/0!</v>
      </c>
      <c r="R26" s="52"/>
      <c r="S26" s="52"/>
      <c r="T26" s="31">
        <f t="shared" si="27"/>
        <v>0</v>
      </c>
      <c r="U26" s="7" t="e">
        <f t="shared" si="44"/>
        <v>#DIV/0!</v>
      </c>
      <c r="V26" s="52"/>
      <c r="W26" s="52"/>
      <c r="X26" s="31">
        <f t="shared" si="8"/>
        <v>0</v>
      </c>
      <c r="Y26" s="31" t="e">
        <f t="shared" si="9"/>
        <v>#DIV/0!</v>
      </c>
      <c r="Z26" s="37">
        <f t="shared" si="39"/>
        <v>0</v>
      </c>
      <c r="AA26" s="37">
        <f t="shared" si="28"/>
        <v>0</v>
      </c>
      <c r="AB26" s="37">
        <f t="shared" si="29"/>
        <v>0</v>
      </c>
      <c r="AC26" s="37"/>
      <c r="AD26" s="52"/>
      <c r="AE26" s="52"/>
      <c r="AF26" s="7">
        <f t="shared" si="30"/>
        <v>0</v>
      </c>
      <c r="AG26" s="7" t="e">
        <f t="shared" si="54"/>
        <v>#DIV/0!</v>
      </c>
      <c r="AH26" s="52"/>
      <c r="AI26" s="52"/>
      <c r="AJ26" s="7">
        <f t="shared" si="10"/>
        <v>0</v>
      </c>
      <c r="AK26" s="7" t="e">
        <f t="shared" si="48"/>
        <v>#DIV/0!</v>
      </c>
      <c r="AL26" s="52"/>
      <c r="AM26" s="52"/>
      <c r="AN26" s="31">
        <f t="shared" si="11"/>
        <v>0</v>
      </c>
      <c r="AO26" s="31" t="e">
        <f t="shared" si="12"/>
        <v>#DIV/0!</v>
      </c>
      <c r="AP26" s="14">
        <f t="shared" si="45"/>
        <v>0</v>
      </c>
      <c r="AQ26" s="40">
        <f t="shared" si="45"/>
        <v>0</v>
      </c>
      <c r="AR26" s="40">
        <f t="shared" si="13"/>
        <v>0</v>
      </c>
      <c r="AS26" s="41"/>
      <c r="AT26" s="36">
        <f t="shared" si="51"/>
        <v>0</v>
      </c>
      <c r="AU26" s="37">
        <f>SUM(AY26+BC26+BG26)</f>
        <v>0</v>
      </c>
      <c r="AV26" s="37">
        <f t="shared" si="40"/>
        <v>0</v>
      </c>
      <c r="AW26" s="490" t="e">
        <f t="shared" si="52"/>
        <v>#DIV/0!</v>
      </c>
      <c r="AX26" s="52"/>
      <c r="AY26" s="52"/>
      <c r="AZ26" s="31">
        <f t="shared" si="47"/>
        <v>0</v>
      </c>
      <c r="BA26" s="31" t="e">
        <f t="shared" si="41"/>
        <v>#DIV/0!</v>
      </c>
      <c r="BB26" s="53"/>
      <c r="BC26" s="52"/>
      <c r="BD26" s="31"/>
      <c r="BE26" s="27"/>
      <c r="BF26" s="53"/>
      <c r="BG26" s="52"/>
      <c r="BH26" s="31"/>
      <c r="BI26" s="17"/>
      <c r="BJ26" s="25">
        <f t="shared" si="34"/>
        <v>0</v>
      </c>
      <c r="BK26" s="37">
        <f t="shared" si="35"/>
        <v>0</v>
      </c>
      <c r="BL26" s="37">
        <f t="shared" si="36"/>
        <v>0</v>
      </c>
      <c r="BM26" s="42"/>
      <c r="BN26" s="51"/>
      <c r="BO26" s="52"/>
      <c r="BP26" s="31"/>
      <c r="BQ26" s="43"/>
      <c r="BR26" s="276"/>
      <c r="BS26" s="52"/>
      <c r="BT26" s="31"/>
      <c r="BU26" s="7"/>
      <c r="BV26" s="277"/>
      <c r="BW26" s="52"/>
      <c r="BX26" s="31"/>
      <c r="BY26" s="7" t="e">
        <f>BW26/BV26%</f>
        <v>#DIV/0!</v>
      </c>
      <c r="CE26" s="52"/>
    </row>
    <row r="27" spans="1:83" ht="37.5" customHeight="1" hidden="1">
      <c r="A27" s="178" t="s">
        <v>92</v>
      </c>
      <c r="B27" s="29">
        <f aca="true" t="shared" si="55" ref="B27:C32">J27+Z27+AT27+BJ27</f>
        <v>0</v>
      </c>
      <c r="C27" s="30">
        <f t="shared" si="55"/>
        <v>0</v>
      </c>
      <c r="D27" s="32"/>
      <c r="E27" s="143"/>
      <c r="F27" s="33"/>
      <c r="G27" s="34"/>
      <c r="H27" s="34"/>
      <c r="I27" s="35"/>
      <c r="J27" s="36"/>
      <c r="K27" s="37"/>
      <c r="L27" s="37"/>
      <c r="M27" s="42"/>
      <c r="N27" s="53"/>
      <c r="O27" s="52"/>
      <c r="P27" s="7"/>
      <c r="Q27" s="7"/>
      <c r="R27" s="52"/>
      <c r="S27" s="52"/>
      <c r="T27" s="31"/>
      <c r="U27" s="7"/>
      <c r="V27" s="52"/>
      <c r="W27" s="52"/>
      <c r="X27" s="31"/>
      <c r="Y27" s="31"/>
      <c r="Z27" s="37"/>
      <c r="AA27" s="37"/>
      <c r="AB27" s="37"/>
      <c r="AC27" s="37"/>
      <c r="AD27" s="52"/>
      <c r="AE27" s="52"/>
      <c r="AF27" s="7"/>
      <c r="AG27" s="7"/>
      <c r="AH27" s="52"/>
      <c r="AI27" s="52"/>
      <c r="AJ27" s="7"/>
      <c r="AK27" s="7"/>
      <c r="AL27" s="52"/>
      <c r="AM27" s="52"/>
      <c r="AN27" s="31"/>
      <c r="AO27" s="31"/>
      <c r="AP27" s="39">
        <f t="shared" si="45"/>
        <v>0</v>
      </c>
      <c r="AQ27" s="40"/>
      <c r="AR27" s="40"/>
      <c r="AS27" s="41"/>
      <c r="AT27" s="36">
        <f t="shared" si="51"/>
        <v>0</v>
      </c>
      <c r="AU27" s="37"/>
      <c r="AV27" s="37"/>
      <c r="AW27" s="490"/>
      <c r="AX27" s="52"/>
      <c r="AY27" s="52"/>
      <c r="AZ27" s="31">
        <f t="shared" si="47"/>
        <v>0</v>
      </c>
      <c r="BA27" s="31"/>
      <c r="BB27" s="53"/>
      <c r="BC27" s="52"/>
      <c r="BD27" s="31"/>
      <c r="BE27" s="27"/>
      <c r="BF27" s="53"/>
      <c r="BG27" s="52"/>
      <c r="BH27" s="31"/>
      <c r="BI27" s="17"/>
      <c r="BJ27" s="44">
        <f t="shared" si="34"/>
        <v>0</v>
      </c>
      <c r="BK27" s="37">
        <f t="shared" si="35"/>
        <v>0</v>
      </c>
      <c r="BL27" s="37"/>
      <c r="BM27" s="42"/>
      <c r="BN27" s="278"/>
      <c r="BO27" s="52"/>
      <c r="BP27" s="31"/>
      <c r="BQ27" s="43"/>
      <c r="BR27" s="276"/>
      <c r="BS27" s="52"/>
      <c r="BT27" s="31">
        <f>BS27-BR27</f>
        <v>0</v>
      </c>
      <c r="BU27" s="31" t="e">
        <f>BS27/BR27%</f>
        <v>#DIV/0!</v>
      </c>
      <c r="BV27" s="277"/>
      <c r="BW27" s="52"/>
      <c r="BX27" s="31"/>
      <c r="BY27" s="7"/>
      <c r="CE27" s="52"/>
    </row>
    <row r="28" spans="1:83" s="55" customFormat="1" ht="20.25" customHeight="1">
      <c r="A28" s="178" t="s">
        <v>35</v>
      </c>
      <c r="B28" s="29">
        <f t="shared" si="55"/>
        <v>17969.4</v>
      </c>
      <c r="C28" s="30">
        <f t="shared" si="55"/>
        <v>9841.3</v>
      </c>
      <c r="D28" s="54">
        <f t="shared" si="0"/>
        <v>-8128.100000000002</v>
      </c>
      <c r="E28" s="143">
        <f t="shared" si="1"/>
        <v>54.766992776609115</v>
      </c>
      <c r="F28" s="33">
        <f t="shared" si="26"/>
        <v>6335.6</v>
      </c>
      <c r="G28" s="34">
        <f t="shared" si="26"/>
        <v>8034.9</v>
      </c>
      <c r="H28" s="34">
        <f t="shared" si="2"/>
        <v>1699.2999999999993</v>
      </c>
      <c r="I28" s="35">
        <f aca="true" t="shared" si="56" ref="I28:I36">G28/F28%</f>
        <v>126.82145337458172</v>
      </c>
      <c r="J28" s="36">
        <f t="shared" si="42"/>
        <v>2495.3</v>
      </c>
      <c r="K28" s="37">
        <f t="shared" si="43"/>
        <v>4754.5</v>
      </c>
      <c r="L28" s="37">
        <f t="shared" si="4"/>
        <v>2259.2</v>
      </c>
      <c r="M28" s="42">
        <f>K28/J28%</f>
        <v>190.5382118382559</v>
      </c>
      <c r="N28" s="38">
        <v>609.1</v>
      </c>
      <c r="O28" s="30">
        <v>1161.9</v>
      </c>
      <c r="P28" s="31">
        <f t="shared" si="53"/>
        <v>552.8000000000001</v>
      </c>
      <c r="Q28" s="31" t="s">
        <v>27</v>
      </c>
      <c r="R28" s="30">
        <v>682.1</v>
      </c>
      <c r="S28" s="30">
        <v>1566.7</v>
      </c>
      <c r="T28" s="31">
        <f t="shared" si="27"/>
        <v>884.6</v>
      </c>
      <c r="U28" s="31" t="s">
        <v>27</v>
      </c>
      <c r="V28" s="30">
        <v>1204.1</v>
      </c>
      <c r="W28" s="30">
        <v>2025.9</v>
      </c>
      <c r="X28" s="31">
        <f t="shared" si="8"/>
        <v>821.8000000000002</v>
      </c>
      <c r="Y28" s="31" t="s">
        <v>94</v>
      </c>
      <c r="Z28" s="37">
        <f t="shared" si="39"/>
        <v>3840.2999999999997</v>
      </c>
      <c r="AA28" s="37">
        <f t="shared" si="28"/>
        <v>3280.4</v>
      </c>
      <c r="AB28" s="37">
        <f t="shared" si="29"/>
        <v>-559.8999999999996</v>
      </c>
      <c r="AC28" s="37">
        <f>AA28/Z28%</f>
        <v>85.42040986381272</v>
      </c>
      <c r="AD28" s="30">
        <v>1477.1</v>
      </c>
      <c r="AE28" s="30">
        <v>668</v>
      </c>
      <c r="AF28" s="31">
        <f t="shared" si="30"/>
        <v>-809.0999999999999</v>
      </c>
      <c r="AG28" s="31">
        <f t="shared" si="54"/>
        <v>45.22374923837249</v>
      </c>
      <c r="AH28" s="30">
        <v>729.1</v>
      </c>
      <c r="AI28" s="30">
        <v>1157.5</v>
      </c>
      <c r="AJ28" s="31">
        <f t="shared" si="10"/>
        <v>428.4</v>
      </c>
      <c r="AK28" s="31">
        <f t="shared" si="48"/>
        <v>158.75737210259223</v>
      </c>
      <c r="AL28" s="30">
        <v>1634.1</v>
      </c>
      <c r="AM28" s="30">
        <v>1454.9</v>
      </c>
      <c r="AN28" s="31">
        <f t="shared" si="11"/>
        <v>-179.19999999999982</v>
      </c>
      <c r="AO28" s="31">
        <f t="shared" si="12"/>
        <v>89.03371886665445</v>
      </c>
      <c r="AP28" s="39">
        <f t="shared" si="45"/>
        <v>11131.9</v>
      </c>
      <c r="AQ28" s="40">
        <f t="shared" si="45"/>
        <v>9841.3</v>
      </c>
      <c r="AR28" s="40">
        <f t="shared" si="13"/>
        <v>-1290.6000000000004</v>
      </c>
      <c r="AS28" s="41">
        <f aca="true" t="shared" si="57" ref="AS28:AS36">AQ28/AP28%</f>
        <v>88.40629182798982</v>
      </c>
      <c r="AT28" s="36">
        <f t="shared" si="51"/>
        <v>4796.299999999999</v>
      </c>
      <c r="AU28" s="37">
        <f>SUM(AY28+BC28+BG28)</f>
        <v>1806.4</v>
      </c>
      <c r="AV28" s="37">
        <f t="shared" si="40"/>
        <v>-2989.899999999999</v>
      </c>
      <c r="AW28" s="490">
        <f t="shared" si="52"/>
        <v>37.6623647394867</v>
      </c>
      <c r="AX28" s="30">
        <v>2562.1</v>
      </c>
      <c r="AY28" s="30">
        <v>1806.4</v>
      </c>
      <c r="AZ28" s="31">
        <f t="shared" si="47"/>
        <v>-755.6999999999998</v>
      </c>
      <c r="BA28" s="31">
        <f t="shared" si="41"/>
        <v>70.50466414269545</v>
      </c>
      <c r="BB28" s="38">
        <v>553.1</v>
      </c>
      <c r="BC28" s="30"/>
      <c r="BD28" s="31">
        <f>BC28-BB28</f>
        <v>-553.1</v>
      </c>
      <c r="BE28" s="27">
        <f>BC28/BB28%</f>
        <v>0</v>
      </c>
      <c r="BF28" s="38">
        <v>1681.1</v>
      </c>
      <c r="BG28" s="30"/>
      <c r="BH28" s="31">
        <f>BG28-BF28</f>
        <v>-1681.1</v>
      </c>
      <c r="BI28" s="27">
        <f>BG28/BF28%</f>
        <v>0</v>
      </c>
      <c r="BJ28" s="44">
        <f t="shared" si="34"/>
        <v>6837.5</v>
      </c>
      <c r="BK28" s="37">
        <f t="shared" si="35"/>
        <v>0</v>
      </c>
      <c r="BL28" s="37">
        <f t="shared" si="36"/>
        <v>-6837.5</v>
      </c>
      <c r="BM28" s="42">
        <f>BK28/BJ28%</f>
        <v>0</v>
      </c>
      <c r="BN28" s="279">
        <v>1779.1</v>
      </c>
      <c r="BO28" s="30"/>
      <c r="BP28" s="31">
        <f aca="true" t="shared" si="58" ref="BP28:BP41">BO28-BN28</f>
        <v>-1779.1</v>
      </c>
      <c r="BQ28" s="43">
        <f>BO28/BN28%</f>
        <v>0</v>
      </c>
      <c r="BR28" s="271">
        <v>2219.1</v>
      </c>
      <c r="BS28" s="30"/>
      <c r="BT28" s="31">
        <f>BS28-BR28</f>
        <v>-2219.1</v>
      </c>
      <c r="BU28" s="31">
        <f>BS28/BR28%</f>
        <v>0</v>
      </c>
      <c r="BV28" s="272">
        <v>2839.3</v>
      </c>
      <c r="BW28" s="30"/>
      <c r="BX28" s="31">
        <f aca="true" t="shared" si="59" ref="BX28:BX41">BW28-BV28</f>
        <v>-2839.3</v>
      </c>
      <c r="BY28" s="7">
        <f>BW28/BV28%</f>
        <v>0</v>
      </c>
      <c r="CE28" s="30"/>
    </row>
    <row r="29" spans="1:83" s="1" customFormat="1" ht="22.5" customHeight="1">
      <c r="A29" s="175" t="s">
        <v>36</v>
      </c>
      <c r="B29" s="29">
        <f t="shared" si="55"/>
        <v>5772.6</v>
      </c>
      <c r="C29" s="30">
        <f>K29+AA29+AU29+BK29</f>
        <v>3454.1</v>
      </c>
      <c r="D29" s="31">
        <f t="shared" si="0"/>
        <v>-2318.5000000000005</v>
      </c>
      <c r="E29" s="143">
        <f t="shared" si="1"/>
        <v>59.836122371201874</v>
      </c>
      <c r="F29" s="33">
        <f t="shared" si="26"/>
        <v>2424</v>
      </c>
      <c r="G29" s="34">
        <f>K29+AA29</f>
        <v>3319.5</v>
      </c>
      <c r="H29" s="34">
        <f t="shared" si="2"/>
        <v>895.5</v>
      </c>
      <c r="I29" s="35">
        <f t="shared" si="56"/>
        <v>136.9430693069307</v>
      </c>
      <c r="J29" s="36">
        <f t="shared" si="42"/>
        <v>1674.3000000000002</v>
      </c>
      <c r="K29" s="37">
        <f t="shared" si="43"/>
        <v>1523.8000000000002</v>
      </c>
      <c r="L29" s="37">
        <f t="shared" si="4"/>
        <v>-150.5</v>
      </c>
      <c r="M29" s="42">
        <f>K29/J29%</f>
        <v>91.0111688466822</v>
      </c>
      <c r="N29" s="56">
        <v>558.1</v>
      </c>
      <c r="O29" s="57">
        <v>472.6</v>
      </c>
      <c r="P29" s="31">
        <f t="shared" si="53"/>
        <v>-85.5</v>
      </c>
      <c r="Q29" s="31">
        <f t="shared" si="7"/>
        <v>84.68016484500986</v>
      </c>
      <c r="R29" s="57">
        <v>558.1</v>
      </c>
      <c r="S29" s="57">
        <v>199.5</v>
      </c>
      <c r="T29" s="31">
        <f t="shared" si="27"/>
        <v>-358.6</v>
      </c>
      <c r="U29" s="31">
        <f t="shared" si="44"/>
        <v>35.74628202831033</v>
      </c>
      <c r="V29" s="57">
        <v>558.1</v>
      </c>
      <c r="W29" s="57">
        <v>851.7</v>
      </c>
      <c r="X29" s="31">
        <f t="shared" si="8"/>
        <v>293.6</v>
      </c>
      <c r="Y29" s="31">
        <f t="shared" si="9"/>
        <v>152.6070596667264</v>
      </c>
      <c r="Z29" s="37">
        <f t="shared" si="39"/>
        <v>749.7</v>
      </c>
      <c r="AA29" s="37">
        <f>SUM(AE29+AI29+AM29)</f>
        <v>1795.7</v>
      </c>
      <c r="AB29" s="37">
        <f>AA29-Z29</f>
        <v>1046</v>
      </c>
      <c r="AC29" s="37">
        <f>AA29/Z29%</f>
        <v>239.52247565692943</v>
      </c>
      <c r="AD29" s="383">
        <f>558.1-83.7</f>
        <v>474.40000000000003</v>
      </c>
      <c r="AE29" s="57">
        <v>474.4</v>
      </c>
      <c r="AF29" s="31">
        <f t="shared" si="30"/>
        <v>0</v>
      </c>
      <c r="AG29" s="31">
        <f t="shared" si="54"/>
        <v>99.99999999999999</v>
      </c>
      <c r="AH29" s="383">
        <f>558.1-555.7</f>
        <v>2.3999999999999773</v>
      </c>
      <c r="AI29" s="57">
        <v>476.3</v>
      </c>
      <c r="AJ29" s="31">
        <f t="shared" si="10"/>
        <v>473.90000000000003</v>
      </c>
      <c r="AK29" s="31" t="s">
        <v>27</v>
      </c>
      <c r="AL29" s="383">
        <f>558.1-285.2</f>
        <v>272.90000000000003</v>
      </c>
      <c r="AM29" s="57">
        <v>845</v>
      </c>
      <c r="AN29" s="31">
        <f t="shared" si="11"/>
        <v>572.0999999999999</v>
      </c>
      <c r="AO29" s="31" t="s">
        <v>94</v>
      </c>
      <c r="AP29" s="39">
        <f t="shared" si="45"/>
        <v>4098.3</v>
      </c>
      <c r="AQ29" s="40">
        <f>K29+AA29+AU29</f>
        <v>3454.1</v>
      </c>
      <c r="AR29" s="40">
        <f t="shared" si="13"/>
        <v>-644.2000000000003</v>
      </c>
      <c r="AS29" s="41">
        <f t="shared" si="57"/>
        <v>84.28128736305297</v>
      </c>
      <c r="AT29" s="36">
        <f t="shared" si="51"/>
        <v>1674.3000000000002</v>
      </c>
      <c r="AU29" s="37">
        <f>SUM(AY29+BC29+BG29)</f>
        <v>134.6</v>
      </c>
      <c r="AV29" s="37">
        <f t="shared" si="40"/>
        <v>-1539.7000000000003</v>
      </c>
      <c r="AW29" s="490">
        <f t="shared" si="52"/>
        <v>8.039180553066952</v>
      </c>
      <c r="AX29" s="57">
        <v>558.1</v>
      </c>
      <c r="AY29" s="57">
        <v>134.6</v>
      </c>
      <c r="AZ29" s="31">
        <f t="shared" si="47"/>
        <v>-423.5</v>
      </c>
      <c r="BA29" s="31">
        <f t="shared" si="41"/>
        <v>24.117541659200857</v>
      </c>
      <c r="BB29" s="56">
        <v>558.1</v>
      </c>
      <c r="BC29" s="57"/>
      <c r="BD29" s="31">
        <f>BC29-BB29</f>
        <v>-558.1</v>
      </c>
      <c r="BE29" s="27">
        <f>BC29/BB29%</f>
        <v>0</v>
      </c>
      <c r="BF29" s="56">
        <v>558.1</v>
      </c>
      <c r="BG29" s="57"/>
      <c r="BH29" s="31">
        <f>BG29-BF29</f>
        <v>-558.1</v>
      </c>
      <c r="BI29" s="27">
        <f>BG29/BF29%</f>
        <v>0</v>
      </c>
      <c r="BJ29" s="44">
        <f t="shared" si="34"/>
        <v>1674.3000000000002</v>
      </c>
      <c r="BK29" s="37">
        <f t="shared" si="35"/>
        <v>0</v>
      </c>
      <c r="BL29" s="37">
        <f t="shared" si="36"/>
        <v>-1674.3000000000002</v>
      </c>
      <c r="BM29" s="42">
        <f>BK29/BJ29%</f>
        <v>0</v>
      </c>
      <c r="BN29" s="280">
        <v>558.1</v>
      </c>
      <c r="BO29" s="57"/>
      <c r="BP29" s="31">
        <f t="shared" si="58"/>
        <v>-558.1</v>
      </c>
      <c r="BQ29" s="43">
        <f>BO29/BN29%</f>
        <v>0</v>
      </c>
      <c r="BR29" s="281">
        <v>558.1</v>
      </c>
      <c r="BS29" s="57"/>
      <c r="BT29" s="31">
        <f>BS29-BR29</f>
        <v>-558.1</v>
      </c>
      <c r="BU29" s="31">
        <f>BS29/BR29%</f>
        <v>0</v>
      </c>
      <c r="BV29" s="282">
        <v>558.1</v>
      </c>
      <c r="BW29" s="57"/>
      <c r="BX29" s="31">
        <f t="shared" si="59"/>
        <v>-558.1</v>
      </c>
      <c r="BY29" s="31">
        <f>BW29/BV29%</f>
        <v>0</v>
      </c>
      <c r="CE29" s="57"/>
    </row>
    <row r="30" spans="1:83" s="1" customFormat="1" ht="18" customHeight="1">
      <c r="A30" s="175" t="s">
        <v>153</v>
      </c>
      <c r="B30" s="29">
        <f t="shared" si="55"/>
        <v>0</v>
      </c>
      <c r="C30" s="30">
        <f>K30+AA30+AU30+BK30</f>
        <v>2.6</v>
      </c>
      <c r="D30" s="31"/>
      <c r="E30" s="143"/>
      <c r="F30" s="33">
        <f t="shared" si="26"/>
        <v>0</v>
      </c>
      <c r="G30" s="34">
        <f>K30+AA30</f>
        <v>0.2</v>
      </c>
      <c r="H30" s="34"/>
      <c r="I30" s="35"/>
      <c r="J30" s="36"/>
      <c r="K30" s="37"/>
      <c r="L30" s="37"/>
      <c r="M30" s="42"/>
      <c r="N30" s="56"/>
      <c r="O30" s="57"/>
      <c r="P30" s="31"/>
      <c r="Q30" s="31"/>
      <c r="R30" s="57"/>
      <c r="S30" s="57"/>
      <c r="T30" s="31"/>
      <c r="U30" s="31"/>
      <c r="V30" s="57"/>
      <c r="W30" s="57"/>
      <c r="X30" s="31"/>
      <c r="Y30" s="31"/>
      <c r="Z30" s="37"/>
      <c r="AA30" s="37">
        <f>SUM(AE30+AI30+AM30)</f>
        <v>0.2</v>
      </c>
      <c r="AB30" s="37"/>
      <c r="AC30" s="37"/>
      <c r="AD30" s="383"/>
      <c r="AE30" s="57"/>
      <c r="AF30" s="31"/>
      <c r="AG30" s="31"/>
      <c r="AH30" s="383"/>
      <c r="AI30" s="57"/>
      <c r="AJ30" s="31"/>
      <c r="AK30" s="31"/>
      <c r="AL30" s="383"/>
      <c r="AM30" s="57">
        <v>0.2</v>
      </c>
      <c r="AN30" s="31"/>
      <c r="AO30" s="31"/>
      <c r="AP30" s="39"/>
      <c r="AQ30" s="40">
        <f>K30+AA30+AU30</f>
        <v>2.6</v>
      </c>
      <c r="AR30" s="40"/>
      <c r="AS30" s="41"/>
      <c r="AT30" s="36">
        <f t="shared" si="51"/>
        <v>0</v>
      </c>
      <c r="AU30" s="37">
        <f>SUM(AY30+BC30+BG30)</f>
        <v>2.4</v>
      </c>
      <c r="AV30" s="37"/>
      <c r="AW30" s="490"/>
      <c r="AX30" s="57"/>
      <c r="AY30" s="57">
        <v>2.4</v>
      </c>
      <c r="AZ30" s="31"/>
      <c r="BA30" s="31"/>
      <c r="BB30" s="56"/>
      <c r="BC30" s="57"/>
      <c r="BD30" s="31"/>
      <c r="BE30" s="27"/>
      <c r="BF30" s="56"/>
      <c r="BG30" s="57"/>
      <c r="BH30" s="31"/>
      <c r="BI30" s="27"/>
      <c r="BJ30" s="44"/>
      <c r="BK30" s="37"/>
      <c r="BL30" s="37"/>
      <c r="BM30" s="42"/>
      <c r="BN30" s="280"/>
      <c r="BO30" s="57"/>
      <c r="BP30" s="31"/>
      <c r="BQ30" s="43"/>
      <c r="BR30" s="281"/>
      <c r="BS30" s="57"/>
      <c r="BT30" s="31"/>
      <c r="BU30" s="31"/>
      <c r="BV30" s="282"/>
      <c r="BW30" s="57"/>
      <c r="BX30" s="31"/>
      <c r="BY30" s="31"/>
      <c r="CE30" s="57"/>
    </row>
    <row r="31" spans="1:83" ht="38.25" customHeight="1">
      <c r="A31" s="175" t="s">
        <v>37</v>
      </c>
      <c r="B31" s="29">
        <f t="shared" si="55"/>
        <v>38.7</v>
      </c>
      <c r="C31" s="30">
        <f t="shared" si="55"/>
        <v>55.3</v>
      </c>
      <c r="D31" s="32">
        <f t="shared" si="0"/>
        <v>16.599999999999994</v>
      </c>
      <c r="E31" s="143">
        <f t="shared" si="1"/>
        <v>142.89405684754522</v>
      </c>
      <c r="F31" s="33">
        <f t="shared" si="26"/>
        <v>38.7</v>
      </c>
      <c r="G31" s="34">
        <f t="shared" si="26"/>
        <v>55.3</v>
      </c>
      <c r="H31" s="34">
        <f t="shared" si="2"/>
        <v>16.599999999999994</v>
      </c>
      <c r="I31" s="35">
        <f>G31/F31%</f>
        <v>142.89405684754522</v>
      </c>
      <c r="J31" s="36">
        <f t="shared" si="42"/>
        <v>38.7</v>
      </c>
      <c r="K31" s="37">
        <f t="shared" si="43"/>
        <v>5.2</v>
      </c>
      <c r="L31" s="37">
        <f t="shared" si="4"/>
        <v>-33.5</v>
      </c>
      <c r="M31" s="42">
        <f>K31/J31%</f>
        <v>13.436692506459949</v>
      </c>
      <c r="N31" s="56"/>
      <c r="O31" s="57"/>
      <c r="P31" s="31">
        <f t="shared" si="53"/>
        <v>0</v>
      </c>
      <c r="Q31" s="31"/>
      <c r="R31" s="57"/>
      <c r="S31" s="57"/>
      <c r="T31" s="31">
        <f t="shared" si="27"/>
        <v>0</v>
      </c>
      <c r="U31" s="7"/>
      <c r="V31" s="57">
        <v>38.7</v>
      </c>
      <c r="W31" s="57">
        <v>5.2</v>
      </c>
      <c r="X31" s="31">
        <f t="shared" si="8"/>
        <v>-33.5</v>
      </c>
      <c r="Y31" s="31">
        <f t="shared" si="9"/>
        <v>13.436692506459949</v>
      </c>
      <c r="Z31" s="37">
        <f t="shared" si="39"/>
        <v>0</v>
      </c>
      <c r="AA31" s="37">
        <f t="shared" si="28"/>
        <v>50.099999999999994</v>
      </c>
      <c r="AB31" s="37">
        <f t="shared" si="29"/>
        <v>50.099999999999994</v>
      </c>
      <c r="AC31" s="37"/>
      <c r="AD31" s="57"/>
      <c r="AE31" s="57">
        <v>46.8</v>
      </c>
      <c r="AF31" s="31">
        <f t="shared" si="30"/>
        <v>46.8</v>
      </c>
      <c r="AG31" s="31"/>
      <c r="AH31" s="57"/>
      <c r="AI31" s="57">
        <v>3.3</v>
      </c>
      <c r="AJ31" s="31">
        <f t="shared" si="10"/>
        <v>3.3</v>
      </c>
      <c r="AK31" s="31"/>
      <c r="AL31" s="57"/>
      <c r="AM31" s="57"/>
      <c r="AN31" s="31">
        <f t="shared" si="11"/>
        <v>0</v>
      </c>
      <c r="AO31" s="31"/>
      <c r="AP31" s="39">
        <f t="shared" si="45"/>
        <v>38.7</v>
      </c>
      <c r="AQ31" s="40">
        <f t="shared" si="45"/>
        <v>55.3</v>
      </c>
      <c r="AR31" s="40">
        <f t="shared" si="13"/>
        <v>16.599999999999994</v>
      </c>
      <c r="AS31" s="41">
        <f t="shared" si="57"/>
        <v>142.89405684754522</v>
      </c>
      <c r="AT31" s="36">
        <f t="shared" si="51"/>
        <v>0</v>
      </c>
      <c r="AU31" s="37">
        <f>SUM(AY31+BC31+BG31)</f>
        <v>0</v>
      </c>
      <c r="AV31" s="37">
        <f t="shared" si="40"/>
        <v>0</v>
      </c>
      <c r="AW31" s="490"/>
      <c r="AX31" s="57"/>
      <c r="AY31" s="57"/>
      <c r="AZ31" s="31">
        <f t="shared" si="47"/>
        <v>0</v>
      </c>
      <c r="BA31" s="31"/>
      <c r="BB31" s="56"/>
      <c r="BC31" s="57"/>
      <c r="BD31" s="31">
        <f>BC31-BB31</f>
        <v>0</v>
      </c>
      <c r="BE31" s="27"/>
      <c r="BF31" s="56"/>
      <c r="BG31" s="57"/>
      <c r="BH31" s="31">
        <f>BG31-BF31</f>
        <v>0</v>
      </c>
      <c r="BI31" s="27"/>
      <c r="BJ31" s="44">
        <f t="shared" si="34"/>
        <v>0</v>
      </c>
      <c r="BK31" s="37">
        <f t="shared" si="35"/>
        <v>0</v>
      </c>
      <c r="BL31" s="37">
        <f t="shared" si="36"/>
        <v>0</v>
      </c>
      <c r="BM31" s="42"/>
      <c r="BN31" s="280"/>
      <c r="BO31" s="57"/>
      <c r="BP31" s="31">
        <f t="shared" si="58"/>
        <v>0</v>
      </c>
      <c r="BQ31" s="43"/>
      <c r="BR31" s="281"/>
      <c r="BS31" s="57"/>
      <c r="BT31" s="31">
        <f>BS31-BR31</f>
        <v>0</v>
      </c>
      <c r="BU31" s="31"/>
      <c r="BV31" s="282"/>
      <c r="BW31" s="57"/>
      <c r="BX31" s="31">
        <f t="shared" si="59"/>
        <v>0</v>
      </c>
      <c r="BY31" s="31"/>
      <c r="CE31" s="57"/>
    </row>
    <row r="32" spans="1:83" ht="57" customHeight="1">
      <c r="A32" s="179" t="s">
        <v>93</v>
      </c>
      <c r="B32" s="29">
        <f t="shared" si="55"/>
        <v>486.2</v>
      </c>
      <c r="C32" s="30">
        <f t="shared" si="55"/>
        <v>306.4</v>
      </c>
      <c r="D32" s="32">
        <f t="shared" si="0"/>
        <v>-179.8</v>
      </c>
      <c r="E32" s="143">
        <f t="shared" si="1"/>
        <v>63.019333607568896</v>
      </c>
      <c r="F32" s="33">
        <f t="shared" si="26"/>
        <v>243</v>
      </c>
      <c r="G32" s="34">
        <f t="shared" si="26"/>
        <v>249.9</v>
      </c>
      <c r="H32" s="34">
        <f t="shared" si="2"/>
        <v>6.900000000000006</v>
      </c>
      <c r="I32" s="35">
        <f t="shared" si="56"/>
        <v>102.8395061728395</v>
      </c>
      <c r="J32" s="180">
        <f t="shared" si="42"/>
        <v>121.5</v>
      </c>
      <c r="K32" s="37">
        <f>O32+S32+W32</f>
        <v>125.4</v>
      </c>
      <c r="L32" s="37">
        <f t="shared" si="4"/>
        <v>3.9000000000000057</v>
      </c>
      <c r="M32" s="42">
        <f>K32/J32%</f>
        <v>103.20987654320987</v>
      </c>
      <c r="N32" s="56">
        <v>40.5</v>
      </c>
      <c r="O32" s="57">
        <v>19.1</v>
      </c>
      <c r="P32" s="31">
        <f t="shared" si="53"/>
        <v>-21.4</v>
      </c>
      <c r="Q32" s="31">
        <f t="shared" si="7"/>
        <v>47.160493827160494</v>
      </c>
      <c r="R32" s="57">
        <v>40.5</v>
      </c>
      <c r="S32" s="57">
        <v>55.8</v>
      </c>
      <c r="T32" s="31">
        <f>S32-R32</f>
        <v>15.299999999999997</v>
      </c>
      <c r="U32" s="7" t="s">
        <v>27</v>
      </c>
      <c r="V32" s="57">
        <v>40.5</v>
      </c>
      <c r="W32" s="57">
        <v>50.5</v>
      </c>
      <c r="X32" s="31">
        <f t="shared" si="8"/>
        <v>10</v>
      </c>
      <c r="Y32" s="31">
        <f t="shared" si="9"/>
        <v>124.69135802469135</v>
      </c>
      <c r="Z32" s="37">
        <f t="shared" si="39"/>
        <v>121.5</v>
      </c>
      <c r="AA32" s="37">
        <f t="shared" si="28"/>
        <v>124.5</v>
      </c>
      <c r="AB32" s="37">
        <f t="shared" si="29"/>
        <v>3</v>
      </c>
      <c r="AC32" s="37">
        <f aca="true" t="shared" si="60" ref="AC32:AC38">AA32/Z32%</f>
        <v>102.46913580246913</v>
      </c>
      <c r="AD32" s="57">
        <v>40.5</v>
      </c>
      <c r="AE32" s="57">
        <v>28.1</v>
      </c>
      <c r="AF32" s="31">
        <f t="shared" si="30"/>
        <v>-12.399999999999999</v>
      </c>
      <c r="AG32" s="31">
        <f t="shared" si="54"/>
        <v>69.38271604938271</v>
      </c>
      <c r="AH32" s="57">
        <v>40.5</v>
      </c>
      <c r="AI32" s="57">
        <v>63</v>
      </c>
      <c r="AJ32" s="31">
        <f t="shared" si="10"/>
        <v>22.5</v>
      </c>
      <c r="AK32" s="31">
        <f t="shared" si="48"/>
        <v>155.55555555555554</v>
      </c>
      <c r="AL32" s="57">
        <v>40.5</v>
      </c>
      <c r="AM32" s="57">
        <v>33.4</v>
      </c>
      <c r="AN32" s="31">
        <f t="shared" si="11"/>
        <v>-7.100000000000001</v>
      </c>
      <c r="AO32" s="31">
        <f t="shared" si="12"/>
        <v>82.46913580246913</v>
      </c>
      <c r="AP32" s="39">
        <f t="shared" si="45"/>
        <v>364.5</v>
      </c>
      <c r="AQ32" s="40"/>
      <c r="AR32" s="40"/>
      <c r="AS32" s="41"/>
      <c r="AT32" s="180">
        <f t="shared" si="51"/>
        <v>121.5</v>
      </c>
      <c r="AU32" s="37">
        <f>AY32+BC32+BG32</f>
        <v>56.5</v>
      </c>
      <c r="AV32" s="37">
        <f t="shared" si="40"/>
        <v>-65</v>
      </c>
      <c r="AW32" s="490">
        <f t="shared" si="52"/>
        <v>46.50205761316872</v>
      </c>
      <c r="AX32" s="57">
        <v>40.5</v>
      </c>
      <c r="AY32" s="57">
        <v>56.5</v>
      </c>
      <c r="AZ32" s="31">
        <f>AY32-AX32</f>
        <v>16</v>
      </c>
      <c r="BA32" s="31">
        <f>AY32/AX32%</f>
        <v>139.50617283950618</v>
      </c>
      <c r="BB32" s="56">
        <v>40.5</v>
      </c>
      <c r="BC32" s="57"/>
      <c r="BD32" s="31">
        <f>BC32-BB32</f>
        <v>-40.5</v>
      </c>
      <c r="BE32" s="27" t="s">
        <v>27</v>
      </c>
      <c r="BF32" s="56">
        <v>40.5</v>
      </c>
      <c r="BG32" s="56"/>
      <c r="BH32" s="31">
        <f>BG32-BF32</f>
        <v>-40.5</v>
      </c>
      <c r="BI32" s="27">
        <f>BG32/BF32%</f>
        <v>0</v>
      </c>
      <c r="BJ32" s="44">
        <f t="shared" si="34"/>
        <v>121.7</v>
      </c>
      <c r="BK32" s="37">
        <f t="shared" si="35"/>
        <v>0</v>
      </c>
      <c r="BL32" s="37">
        <f t="shared" si="36"/>
        <v>-121.7</v>
      </c>
      <c r="BM32" s="42" t="s">
        <v>27</v>
      </c>
      <c r="BN32" s="280">
        <v>40.5</v>
      </c>
      <c r="BO32" s="56"/>
      <c r="BP32" s="31">
        <f t="shared" si="58"/>
        <v>-40.5</v>
      </c>
      <c r="BQ32" s="43">
        <f>BO32/BN32%</f>
        <v>0</v>
      </c>
      <c r="BR32" s="281">
        <v>40.5</v>
      </c>
      <c r="BS32" s="57"/>
      <c r="BT32" s="31">
        <f>BS32-BR32</f>
        <v>-40.5</v>
      </c>
      <c r="BU32" s="31">
        <f>BS32/BR32%</f>
        <v>0</v>
      </c>
      <c r="BV32" s="282">
        <v>40.7</v>
      </c>
      <c r="BW32" s="57"/>
      <c r="BX32" s="31">
        <f t="shared" si="59"/>
        <v>-40.7</v>
      </c>
      <c r="BY32" s="31">
        <f>BW32/BV32%</f>
        <v>0</v>
      </c>
      <c r="CE32" s="56"/>
    </row>
    <row r="33" spans="1:83" s="20" customFormat="1" ht="27" customHeight="1">
      <c r="A33" s="492" t="s">
        <v>38</v>
      </c>
      <c r="B33" s="58">
        <f>B34</f>
        <v>1939.1</v>
      </c>
      <c r="C33" s="59">
        <f>C34</f>
        <v>1901.5</v>
      </c>
      <c r="D33" s="8">
        <f t="shared" si="0"/>
        <v>-37.59999999999991</v>
      </c>
      <c r="E33" s="19">
        <f t="shared" si="1"/>
        <v>98.06095611366099</v>
      </c>
      <c r="F33" s="9">
        <f t="shared" si="26"/>
        <v>835.5999999999999</v>
      </c>
      <c r="G33" s="10">
        <f t="shared" si="26"/>
        <v>1395.1</v>
      </c>
      <c r="H33" s="10">
        <f t="shared" si="2"/>
        <v>559.5</v>
      </c>
      <c r="I33" s="11">
        <f t="shared" si="56"/>
        <v>166.9578745811393</v>
      </c>
      <c r="J33" s="23">
        <f t="shared" si="42"/>
        <v>321.3</v>
      </c>
      <c r="K33" s="486">
        <f t="shared" si="43"/>
        <v>859.9</v>
      </c>
      <c r="L33" s="486">
        <f t="shared" si="4"/>
        <v>538.5999999999999</v>
      </c>
      <c r="M33" s="487">
        <f aca="true" t="shared" si="61" ref="M33:M40">K33/J33%</f>
        <v>267.63149704326173</v>
      </c>
      <c r="N33" s="60">
        <f>N34</f>
        <v>45.9</v>
      </c>
      <c r="O33" s="59">
        <f>O34</f>
        <v>73.8</v>
      </c>
      <c r="P33" s="7">
        <f t="shared" si="53"/>
        <v>27.9</v>
      </c>
      <c r="Q33" s="31" t="s">
        <v>27</v>
      </c>
      <c r="R33" s="59">
        <f>R34</f>
        <v>189</v>
      </c>
      <c r="S33" s="59">
        <f>S34</f>
        <v>104.1</v>
      </c>
      <c r="T33" s="7">
        <f t="shared" si="27"/>
        <v>-84.9</v>
      </c>
      <c r="U33" s="7">
        <f t="shared" si="44"/>
        <v>55.07936507936508</v>
      </c>
      <c r="V33" s="59">
        <f>V34</f>
        <v>86.4</v>
      </c>
      <c r="W33" s="59">
        <f>W34</f>
        <v>682</v>
      </c>
      <c r="X33" s="7">
        <f t="shared" si="8"/>
        <v>595.6</v>
      </c>
      <c r="Y33" s="7" t="s">
        <v>94</v>
      </c>
      <c r="Z33" s="486">
        <f t="shared" si="39"/>
        <v>514.3</v>
      </c>
      <c r="AA33" s="486">
        <f t="shared" si="28"/>
        <v>535.2</v>
      </c>
      <c r="AB33" s="486">
        <f t="shared" si="29"/>
        <v>20.90000000000009</v>
      </c>
      <c r="AC33" s="486">
        <f t="shared" si="60"/>
        <v>104.06377600622206</v>
      </c>
      <c r="AD33" s="59">
        <f>AD34</f>
        <v>228.7</v>
      </c>
      <c r="AE33" s="59">
        <f>AE34</f>
        <v>163.3</v>
      </c>
      <c r="AF33" s="31">
        <f t="shared" si="30"/>
        <v>-65.39999999999998</v>
      </c>
      <c r="AG33" s="31">
        <f t="shared" si="54"/>
        <v>71.40358548316573</v>
      </c>
      <c r="AH33" s="59">
        <f>AH34</f>
        <v>281.6</v>
      </c>
      <c r="AI33" s="59">
        <f>AI34</f>
        <v>369.1</v>
      </c>
      <c r="AJ33" s="31">
        <f t="shared" si="10"/>
        <v>87.5</v>
      </c>
      <c r="AK33" s="7" t="s">
        <v>27</v>
      </c>
      <c r="AL33" s="59">
        <f>AL34</f>
        <v>4</v>
      </c>
      <c r="AM33" s="59">
        <f>AM34</f>
        <v>2.8</v>
      </c>
      <c r="AN33" s="7">
        <f t="shared" si="11"/>
        <v>-1.2000000000000002</v>
      </c>
      <c r="AO33" s="31">
        <f t="shared" si="12"/>
        <v>70</v>
      </c>
      <c r="AP33" s="14">
        <f t="shared" si="45"/>
        <v>1317.1</v>
      </c>
      <c r="AQ33" s="15">
        <f t="shared" si="45"/>
        <v>1901.5</v>
      </c>
      <c r="AR33" s="15">
        <f t="shared" si="13"/>
        <v>584.4000000000001</v>
      </c>
      <c r="AS33" s="16">
        <f t="shared" si="57"/>
        <v>144.37020727355554</v>
      </c>
      <c r="AT33" s="23">
        <f t="shared" si="51"/>
        <v>481.5</v>
      </c>
      <c r="AU33" s="486">
        <f aca="true" t="shared" si="62" ref="AU33:AU41">SUM(AY33+BC33+BG33)</f>
        <v>506.4</v>
      </c>
      <c r="AV33" s="486">
        <f t="shared" si="40"/>
        <v>24.899999999999977</v>
      </c>
      <c r="AW33" s="488">
        <f t="shared" si="52"/>
        <v>105.17133956386292</v>
      </c>
      <c r="AX33" s="59">
        <f>AX34</f>
        <v>199.9</v>
      </c>
      <c r="AY33" s="59">
        <f>AY34</f>
        <v>506.4</v>
      </c>
      <c r="AZ33" s="7">
        <f t="shared" si="47"/>
        <v>306.5</v>
      </c>
      <c r="BA33" s="7">
        <f aca="true" t="shared" si="63" ref="BA33:BA40">AY33/AX33%</f>
        <v>253.3266633316658</v>
      </c>
      <c r="BB33" s="60">
        <f>BB34</f>
        <v>277.5</v>
      </c>
      <c r="BC33" s="59">
        <f>BC34</f>
        <v>0</v>
      </c>
      <c r="BD33" s="7">
        <f aca="true" t="shared" si="64" ref="BD33:BD39">BC33-BB33</f>
        <v>-277.5</v>
      </c>
      <c r="BE33" s="17" t="s">
        <v>27</v>
      </c>
      <c r="BF33" s="181">
        <f>BF34</f>
        <v>4.1</v>
      </c>
      <c r="BG33" s="59">
        <f>BG34</f>
        <v>0</v>
      </c>
      <c r="BH33" s="59">
        <f>BH34</f>
        <v>-4.1</v>
      </c>
      <c r="BI33" s="27">
        <f>BG33/BF33%</f>
        <v>0</v>
      </c>
      <c r="BJ33" s="25">
        <f t="shared" si="34"/>
        <v>622</v>
      </c>
      <c r="BK33" s="486">
        <f t="shared" si="35"/>
        <v>0</v>
      </c>
      <c r="BL33" s="486">
        <f t="shared" si="36"/>
        <v>-622</v>
      </c>
      <c r="BM33" s="487">
        <f>BK33/BJ33%</f>
        <v>0</v>
      </c>
      <c r="BN33" s="283">
        <f>BN34</f>
        <v>193.3</v>
      </c>
      <c r="BO33" s="58">
        <f>BO34</f>
        <v>0</v>
      </c>
      <c r="BP33" s="7">
        <f t="shared" si="58"/>
        <v>-193.3</v>
      </c>
      <c r="BQ33" s="43">
        <f>BO33/BN33%</f>
        <v>0</v>
      </c>
      <c r="BR33" s="284">
        <f>BR34</f>
        <v>422.8</v>
      </c>
      <c r="BS33" s="59">
        <f>BS34</f>
        <v>0</v>
      </c>
      <c r="BT33" s="59">
        <f>BT34</f>
        <v>-422.8</v>
      </c>
      <c r="BU33" s="31" t="s">
        <v>27</v>
      </c>
      <c r="BV33" s="285">
        <f>BV34</f>
        <v>5.9</v>
      </c>
      <c r="BW33" s="59">
        <f>BW34</f>
        <v>0</v>
      </c>
      <c r="BX33" s="31">
        <f t="shared" si="59"/>
        <v>-5.9</v>
      </c>
      <c r="BY33" s="19" t="s">
        <v>27</v>
      </c>
      <c r="CE33" s="59">
        <f>CE34</f>
        <v>0</v>
      </c>
    </row>
    <row r="34" spans="1:83" ht="40.5" customHeight="1">
      <c r="A34" s="49" t="s">
        <v>39</v>
      </c>
      <c r="B34" s="29">
        <f>J34+Z34+AT34+BJ34</f>
        <v>1939.1</v>
      </c>
      <c r="C34" s="30">
        <f>K34+AA34+AU34+BK34</f>
        <v>1901.5</v>
      </c>
      <c r="D34" s="32">
        <f t="shared" si="0"/>
        <v>-37.59999999999991</v>
      </c>
      <c r="E34" s="143">
        <f t="shared" si="1"/>
        <v>98.06095611366099</v>
      </c>
      <c r="F34" s="33">
        <f t="shared" si="26"/>
        <v>835.5999999999999</v>
      </c>
      <c r="G34" s="34">
        <f t="shared" si="26"/>
        <v>1395.1</v>
      </c>
      <c r="H34" s="34">
        <f t="shared" si="2"/>
        <v>559.5</v>
      </c>
      <c r="I34" s="35">
        <f t="shared" si="56"/>
        <v>166.9578745811393</v>
      </c>
      <c r="J34" s="36">
        <f t="shared" si="42"/>
        <v>321.3</v>
      </c>
      <c r="K34" s="37">
        <f t="shared" si="43"/>
        <v>859.9</v>
      </c>
      <c r="L34" s="37">
        <f t="shared" si="4"/>
        <v>538.5999999999999</v>
      </c>
      <c r="M34" s="42">
        <f t="shared" si="61"/>
        <v>267.63149704326173</v>
      </c>
      <c r="N34" s="56">
        <v>45.9</v>
      </c>
      <c r="O34" s="57">
        <v>73.8</v>
      </c>
      <c r="P34" s="31">
        <f t="shared" si="53"/>
        <v>27.9</v>
      </c>
      <c r="Q34" s="31" t="s">
        <v>27</v>
      </c>
      <c r="R34" s="57">
        <v>189</v>
      </c>
      <c r="S34" s="57">
        <v>104.1</v>
      </c>
      <c r="T34" s="31">
        <f t="shared" si="27"/>
        <v>-84.9</v>
      </c>
      <c r="U34" s="31">
        <f t="shared" si="44"/>
        <v>55.07936507936508</v>
      </c>
      <c r="V34" s="57">
        <v>86.4</v>
      </c>
      <c r="W34" s="57">
        <v>682</v>
      </c>
      <c r="X34" s="31">
        <f t="shared" si="8"/>
        <v>595.6</v>
      </c>
      <c r="Y34" s="7" t="s">
        <v>94</v>
      </c>
      <c r="Z34" s="37">
        <f t="shared" si="39"/>
        <v>514.3</v>
      </c>
      <c r="AA34" s="37">
        <f t="shared" si="28"/>
        <v>535.2</v>
      </c>
      <c r="AB34" s="37">
        <f t="shared" si="29"/>
        <v>20.90000000000009</v>
      </c>
      <c r="AC34" s="37">
        <f t="shared" si="60"/>
        <v>104.06377600622206</v>
      </c>
      <c r="AD34" s="57">
        <v>228.7</v>
      </c>
      <c r="AE34" s="57">
        <v>163.3</v>
      </c>
      <c r="AF34" s="31">
        <f t="shared" si="30"/>
        <v>-65.39999999999998</v>
      </c>
      <c r="AG34" s="31">
        <f t="shared" si="54"/>
        <v>71.40358548316573</v>
      </c>
      <c r="AH34" s="57">
        <v>281.6</v>
      </c>
      <c r="AI34" s="57">
        <v>369.1</v>
      </c>
      <c r="AJ34" s="31">
        <f t="shared" si="10"/>
        <v>87.5</v>
      </c>
      <c r="AK34" s="31" t="s">
        <v>27</v>
      </c>
      <c r="AL34" s="57">
        <v>4</v>
      </c>
      <c r="AM34" s="57">
        <v>2.8</v>
      </c>
      <c r="AN34" s="31">
        <f t="shared" si="11"/>
        <v>-1.2000000000000002</v>
      </c>
      <c r="AO34" s="31">
        <f t="shared" si="12"/>
        <v>70</v>
      </c>
      <c r="AP34" s="39">
        <f t="shared" si="45"/>
        <v>1317.1</v>
      </c>
      <c r="AQ34" s="40">
        <f t="shared" si="45"/>
        <v>1901.5</v>
      </c>
      <c r="AR34" s="40">
        <f t="shared" si="13"/>
        <v>584.4000000000001</v>
      </c>
      <c r="AS34" s="41">
        <f t="shared" si="57"/>
        <v>144.37020727355554</v>
      </c>
      <c r="AT34" s="36">
        <f t="shared" si="51"/>
        <v>481.5</v>
      </c>
      <c r="AU34" s="37">
        <f t="shared" si="62"/>
        <v>506.4</v>
      </c>
      <c r="AV34" s="37">
        <f t="shared" si="40"/>
        <v>24.899999999999977</v>
      </c>
      <c r="AW34" s="490">
        <f t="shared" si="52"/>
        <v>105.17133956386292</v>
      </c>
      <c r="AX34" s="57">
        <v>199.9</v>
      </c>
      <c r="AY34" s="57">
        <v>506.4</v>
      </c>
      <c r="AZ34" s="31">
        <f t="shared" si="47"/>
        <v>306.5</v>
      </c>
      <c r="BA34" s="31">
        <f t="shared" si="63"/>
        <v>253.3266633316658</v>
      </c>
      <c r="BB34" s="56">
        <v>277.5</v>
      </c>
      <c r="BC34" s="57"/>
      <c r="BD34" s="31">
        <f t="shared" si="64"/>
        <v>-277.5</v>
      </c>
      <c r="BE34" s="27" t="s">
        <v>27</v>
      </c>
      <c r="BF34" s="56">
        <v>4.1</v>
      </c>
      <c r="BG34" s="57"/>
      <c r="BH34" s="31">
        <f aca="true" t="shared" si="65" ref="BH34:BH39">BG34-BF34</f>
        <v>-4.1</v>
      </c>
      <c r="BI34" s="27">
        <f>BG34/BF34%</f>
        <v>0</v>
      </c>
      <c r="BJ34" s="44">
        <f>BN34+BR34+BV34</f>
        <v>622</v>
      </c>
      <c r="BK34" s="37">
        <f>SUM(BO34+BS34+BW34)</f>
        <v>0</v>
      </c>
      <c r="BL34" s="37">
        <f t="shared" si="36"/>
        <v>-622</v>
      </c>
      <c r="BM34" s="487">
        <f aca="true" t="shared" si="66" ref="BM34:BM39">BK34/BJ34%</f>
        <v>0</v>
      </c>
      <c r="BN34" s="280">
        <v>193.3</v>
      </c>
      <c r="BO34" s="57"/>
      <c r="BP34" s="31">
        <f t="shared" si="58"/>
        <v>-193.3</v>
      </c>
      <c r="BQ34" s="43">
        <f>BO34/BN34%</f>
        <v>0</v>
      </c>
      <c r="BR34" s="281">
        <v>422.8</v>
      </c>
      <c r="BS34" s="57"/>
      <c r="BT34" s="31">
        <f aca="true" t="shared" si="67" ref="BT34:BT40">BS34-BR34</f>
        <v>-422.8</v>
      </c>
      <c r="BU34" s="31" t="s">
        <v>27</v>
      </c>
      <c r="BV34" s="282">
        <v>5.9</v>
      </c>
      <c r="BW34" s="57"/>
      <c r="BX34" s="31">
        <f t="shared" si="59"/>
        <v>-5.9</v>
      </c>
      <c r="BY34" s="143" t="s">
        <v>27</v>
      </c>
      <c r="CE34" s="57"/>
    </row>
    <row r="35" spans="1:83" s="20" customFormat="1" ht="33" customHeight="1">
      <c r="A35" s="50" t="s">
        <v>40</v>
      </c>
      <c r="B35" s="58">
        <f>B36</f>
        <v>103.4</v>
      </c>
      <c r="C35" s="60">
        <f>C36</f>
        <v>572.2</v>
      </c>
      <c r="D35" s="8">
        <f t="shared" si="0"/>
        <v>468.80000000000007</v>
      </c>
      <c r="E35" s="19"/>
      <c r="F35" s="9">
        <v>103.4</v>
      </c>
      <c r="G35" s="10">
        <f t="shared" si="26"/>
        <v>467.5</v>
      </c>
      <c r="H35" s="10">
        <f t="shared" si="2"/>
        <v>364.1</v>
      </c>
      <c r="I35" s="11">
        <f t="shared" si="56"/>
        <v>452.12765957446805</v>
      </c>
      <c r="J35" s="23">
        <f t="shared" si="42"/>
        <v>0</v>
      </c>
      <c r="K35" s="486">
        <f t="shared" si="43"/>
        <v>151.10000000000002</v>
      </c>
      <c r="L35" s="486">
        <f t="shared" si="4"/>
        <v>151.10000000000002</v>
      </c>
      <c r="M35" s="42"/>
      <c r="N35" s="60"/>
      <c r="O35" s="60">
        <f>O36</f>
        <v>10.9</v>
      </c>
      <c r="P35" s="31">
        <f t="shared" si="53"/>
        <v>10.9</v>
      </c>
      <c r="Q35" s="7"/>
      <c r="R35" s="60"/>
      <c r="S35" s="60">
        <f>S36</f>
        <v>71.4</v>
      </c>
      <c r="T35" s="7">
        <f t="shared" si="27"/>
        <v>71.4</v>
      </c>
      <c r="U35" s="7"/>
      <c r="V35" s="60">
        <f>V36</f>
        <v>0</v>
      </c>
      <c r="W35" s="60">
        <f>W36</f>
        <v>68.8</v>
      </c>
      <c r="X35" s="31">
        <f t="shared" si="8"/>
        <v>68.8</v>
      </c>
      <c r="Y35" s="31"/>
      <c r="Z35" s="486">
        <f t="shared" si="39"/>
        <v>0</v>
      </c>
      <c r="AA35" s="486">
        <f t="shared" si="28"/>
        <v>316.4</v>
      </c>
      <c r="AB35" s="486">
        <f t="shared" si="29"/>
        <v>316.4</v>
      </c>
      <c r="AC35" s="37"/>
      <c r="AD35" s="60"/>
      <c r="AE35" s="60">
        <f>AE36</f>
        <v>43.1</v>
      </c>
      <c r="AF35" s="7">
        <f t="shared" si="30"/>
        <v>43.1</v>
      </c>
      <c r="AG35" s="31"/>
      <c r="AH35" s="60"/>
      <c r="AI35" s="60">
        <f>AI36</f>
        <v>124.7</v>
      </c>
      <c r="AJ35" s="7">
        <f t="shared" si="10"/>
        <v>124.7</v>
      </c>
      <c r="AK35" s="7"/>
      <c r="AL35" s="59">
        <f>AL36</f>
        <v>0</v>
      </c>
      <c r="AM35" s="59">
        <f>AM36</f>
        <v>148.6</v>
      </c>
      <c r="AN35" s="7">
        <f t="shared" si="11"/>
        <v>148.6</v>
      </c>
      <c r="AO35" s="31"/>
      <c r="AP35" s="14">
        <f>J35+Z35+AT35</f>
        <v>0</v>
      </c>
      <c r="AQ35" s="61">
        <f>AQ36</f>
        <v>572.2</v>
      </c>
      <c r="AR35" s="15">
        <f t="shared" si="13"/>
        <v>572.2</v>
      </c>
      <c r="AS35" s="16"/>
      <c r="AT35" s="23">
        <f t="shared" si="51"/>
        <v>0</v>
      </c>
      <c r="AU35" s="486">
        <f t="shared" si="62"/>
        <v>104.7</v>
      </c>
      <c r="AV35" s="486">
        <f t="shared" si="40"/>
        <v>104.7</v>
      </c>
      <c r="AW35" s="488"/>
      <c r="AX35" s="59">
        <f>AX36</f>
        <v>0</v>
      </c>
      <c r="AY35" s="59">
        <f>AY36</f>
        <v>104.7</v>
      </c>
      <c r="AZ35" s="7">
        <f t="shared" si="47"/>
        <v>104.7</v>
      </c>
      <c r="BA35" s="7"/>
      <c r="BB35" s="60">
        <f>BB36</f>
        <v>0</v>
      </c>
      <c r="BC35" s="60">
        <f>BC36</f>
        <v>0</v>
      </c>
      <c r="BD35" s="31">
        <f t="shared" si="64"/>
        <v>0</v>
      </c>
      <c r="BE35" s="27"/>
      <c r="BF35" s="60">
        <f>BF36</f>
        <v>0</v>
      </c>
      <c r="BG35" s="60">
        <f>BG36</f>
        <v>0</v>
      </c>
      <c r="BH35" s="31">
        <f t="shared" si="65"/>
        <v>0</v>
      </c>
      <c r="BI35" s="27"/>
      <c r="BJ35" s="25">
        <f t="shared" si="34"/>
        <v>0</v>
      </c>
      <c r="BK35" s="486">
        <f t="shared" si="35"/>
        <v>0</v>
      </c>
      <c r="BL35" s="486">
        <f t="shared" si="36"/>
        <v>0</v>
      </c>
      <c r="BM35" s="42" t="s">
        <v>27</v>
      </c>
      <c r="BN35" s="285"/>
      <c r="BO35" s="60">
        <f>BO36</f>
        <v>0</v>
      </c>
      <c r="BP35" s="31">
        <f t="shared" si="58"/>
        <v>0</v>
      </c>
      <c r="BQ35" s="43" t="s">
        <v>27</v>
      </c>
      <c r="BR35" s="284">
        <f>BR36</f>
        <v>0</v>
      </c>
      <c r="BS35" s="59">
        <f>BS36</f>
        <v>0</v>
      </c>
      <c r="BT35" s="7">
        <f t="shared" si="67"/>
        <v>0</v>
      </c>
      <c r="BU35" s="31"/>
      <c r="BV35" s="285"/>
      <c r="BW35" s="59">
        <f>BW36</f>
        <v>0</v>
      </c>
      <c r="BX35" s="7">
        <f t="shared" si="59"/>
        <v>0</v>
      </c>
      <c r="BY35" s="7"/>
      <c r="CE35" s="60">
        <f>CE36</f>
        <v>0</v>
      </c>
    </row>
    <row r="36" spans="1:83" ht="40.5" customHeight="1">
      <c r="A36" s="62" t="s">
        <v>41</v>
      </c>
      <c r="B36" s="29">
        <f>J36+Z36+AT36+BJ36</f>
        <v>103.4</v>
      </c>
      <c r="C36" s="30">
        <f>K36+AA36+AU36+BK36</f>
        <v>572.2</v>
      </c>
      <c r="D36" s="32">
        <f t="shared" si="0"/>
        <v>468.80000000000007</v>
      </c>
      <c r="E36" s="143"/>
      <c r="F36" s="33">
        <f t="shared" si="26"/>
        <v>103.4</v>
      </c>
      <c r="G36" s="34">
        <f t="shared" si="26"/>
        <v>467.5</v>
      </c>
      <c r="H36" s="34">
        <f t="shared" si="2"/>
        <v>364.1</v>
      </c>
      <c r="I36" s="35">
        <f t="shared" si="56"/>
        <v>452.12765957446805</v>
      </c>
      <c r="J36" s="36">
        <f t="shared" si="42"/>
        <v>0</v>
      </c>
      <c r="K36" s="37">
        <f t="shared" si="43"/>
        <v>151.10000000000002</v>
      </c>
      <c r="L36" s="37">
        <f t="shared" si="4"/>
        <v>151.10000000000002</v>
      </c>
      <c r="M36" s="42"/>
      <c r="N36" s="56"/>
      <c r="O36" s="57">
        <v>10.9</v>
      </c>
      <c r="P36" s="31">
        <f t="shared" si="53"/>
        <v>10.9</v>
      </c>
      <c r="Q36" s="7"/>
      <c r="R36" s="57"/>
      <c r="S36" s="57">
        <v>71.4</v>
      </c>
      <c r="T36" s="31">
        <f t="shared" si="27"/>
        <v>71.4</v>
      </c>
      <c r="U36" s="7"/>
      <c r="V36" s="57"/>
      <c r="W36" s="57">
        <v>68.8</v>
      </c>
      <c r="X36" s="31">
        <f t="shared" si="8"/>
        <v>68.8</v>
      </c>
      <c r="Y36" s="31"/>
      <c r="Z36" s="37">
        <f t="shared" si="39"/>
        <v>103.4</v>
      </c>
      <c r="AA36" s="37">
        <f t="shared" si="28"/>
        <v>316.4</v>
      </c>
      <c r="AB36" s="37">
        <f t="shared" si="29"/>
        <v>212.99999999999997</v>
      </c>
      <c r="AC36" s="37"/>
      <c r="AD36" s="383">
        <v>103.4</v>
      </c>
      <c r="AE36" s="57">
        <v>43.1</v>
      </c>
      <c r="AF36" s="31">
        <f t="shared" si="30"/>
        <v>-60.300000000000004</v>
      </c>
      <c r="AG36" s="31"/>
      <c r="AH36" s="57"/>
      <c r="AI36" s="57">
        <v>124.7</v>
      </c>
      <c r="AJ36" s="31">
        <f t="shared" si="10"/>
        <v>124.7</v>
      </c>
      <c r="AK36" s="7"/>
      <c r="AL36" s="57"/>
      <c r="AM36" s="57">
        <v>148.6</v>
      </c>
      <c r="AN36" s="31">
        <f t="shared" si="11"/>
        <v>148.6</v>
      </c>
      <c r="AO36" s="31"/>
      <c r="AP36" s="14">
        <f>J36+Z36+AT36</f>
        <v>103.4</v>
      </c>
      <c r="AQ36" s="40">
        <f aca="true" t="shared" si="68" ref="AP36:AQ41">K36+AA36+AU36</f>
        <v>572.2</v>
      </c>
      <c r="AR36" s="40">
        <f t="shared" si="13"/>
        <v>468.80000000000007</v>
      </c>
      <c r="AS36" s="41">
        <f t="shared" si="57"/>
        <v>553.384912959381</v>
      </c>
      <c r="AT36" s="36">
        <f t="shared" si="51"/>
        <v>0</v>
      </c>
      <c r="AU36" s="37">
        <f t="shared" si="62"/>
        <v>104.7</v>
      </c>
      <c r="AV36" s="37">
        <f t="shared" si="40"/>
        <v>104.7</v>
      </c>
      <c r="AW36" s="490"/>
      <c r="AX36" s="57"/>
      <c r="AY36" s="57">
        <v>104.7</v>
      </c>
      <c r="AZ36" s="31">
        <f t="shared" si="47"/>
        <v>104.7</v>
      </c>
      <c r="BA36" s="31"/>
      <c r="BB36" s="56"/>
      <c r="BC36" s="57"/>
      <c r="BD36" s="31">
        <f t="shared" si="64"/>
        <v>0</v>
      </c>
      <c r="BE36" s="27"/>
      <c r="BF36" s="56"/>
      <c r="BG36" s="57"/>
      <c r="BH36" s="31">
        <f t="shared" si="65"/>
        <v>0</v>
      </c>
      <c r="BI36" s="27"/>
      <c r="BJ36" s="44">
        <f t="shared" si="34"/>
        <v>0</v>
      </c>
      <c r="BK36" s="37">
        <f t="shared" si="35"/>
        <v>0</v>
      </c>
      <c r="BL36" s="37">
        <f t="shared" si="36"/>
        <v>0</v>
      </c>
      <c r="BM36" s="42" t="s">
        <v>27</v>
      </c>
      <c r="BN36" s="280"/>
      <c r="BO36" s="57"/>
      <c r="BP36" s="31">
        <f t="shared" si="58"/>
        <v>0</v>
      </c>
      <c r="BQ36" s="43" t="s">
        <v>27</v>
      </c>
      <c r="BR36" s="281"/>
      <c r="BS36" s="57"/>
      <c r="BT36" s="7">
        <f t="shared" si="67"/>
        <v>0</v>
      </c>
      <c r="BU36" s="31"/>
      <c r="BV36" s="282"/>
      <c r="BW36" s="57"/>
      <c r="BX36" s="31">
        <f t="shared" si="59"/>
        <v>0</v>
      </c>
      <c r="BY36" s="31"/>
      <c r="CE36" s="57"/>
    </row>
    <row r="37" spans="1:83" s="64" customFormat="1" ht="33.75" customHeight="1">
      <c r="A37" s="63" t="s">
        <v>42</v>
      </c>
      <c r="B37" s="58">
        <f>B39+B38</f>
        <v>521.9000000000001</v>
      </c>
      <c r="C37" s="60">
        <f>C39+C38</f>
        <v>7164.3</v>
      </c>
      <c r="D37" s="7">
        <f t="shared" si="0"/>
        <v>6642.4</v>
      </c>
      <c r="E37" s="19">
        <f t="shared" si="1"/>
        <v>1372.7342402759145</v>
      </c>
      <c r="F37" s="9">
        <f t="shared" si="26"/>
        <v>262.5</v>
      </c>
      <c r="G37" s="10">
        <f t="shared" si="26"/>
        <v>6233.2</v>
      </c>
      <c r="H37" s="10">
        <f t="shared" si="2"/>
        <v>5970.7</v>
      </c>
      <c r="I37" s="182" t="s">
        <v>27</v>
      </c>
      <c r="J37" s="23">
        <f t="shared" si="42"/>
        <v>131.6</v>
      </c>
      <c r="K37" s="486">
        <f t="shared" si="43"/>
        <v>4266</v>
      </c>
      <c r="L37" s="486">
        <f t="shared" si="4"/>
        <v>4134.4</v>
      </c>
      <c r="M37" s="487" t="s">
        <v>27</v>
      </c>
      <c r="N37" s="60">
        <f>N39+N38</f>
        <v>44</v>
      </c>
      <c r="O37" s="60">
        <f>O39+O38</f>
        <v>3241.7999999999997</v>
      </c>
      <c r="P37" s="7">
        <f t="shared" si="53"/>
        <v>3197.7999999999997</v>
      </c>
      <c r="Q37" s="31" t="s">
        <v>27</v>
      </c>
      <c r="R37" s="60">
        <f>R39+R38</f>
        <v>43.8</v>
      </c>
      <c r="S37" s="60">
        <f>S39+S38</f>
        <v>321.90000000000003</v>
      </c>
      <c r="T37" s="7">
        <f t="shared" si="27"/>
        <v>278.1</v>
      </c>
      <c r="U37" s="7" t="s">
        <v>27</v>
      </c>
      <c r="V37" s="60">
        <f>V39+V38</f>
        <v>43.8</v>
      </c>
      <c r="W37" s="60">
        <f>W39+W38</f>
        <v>702.3</v>
      </c>
      <c r="X37" s="7">
        <f t="shared" si="8"/>
        <v>658.5</v>
      </c>
      <c r="Y37" s="7" t="s">
        <v>94</v>
      </c>
      <c r="Z37" s="486">
        <f t="shared" si="39"/>
        <v>130.9</v>
      </c>
      <c r="AA37" s="486">
        <f t="shared" si="28"/>
        <v>1967.2</v>
      </c>
      <c r="AB37" s="486">
        <f t="shared" si="29"/>
        <v>1836.3</v>
      </c>
      <c r="AC37" s="486">
        <f t="shared" si="60"/>
        <v>1502.826585179526</v>
      </c>
      <c r="AD37" s="60">
        <f>AD39+AD38</f>
        <v>43.7</v>
      </c>
      <c r="AE37" s="60">
        <f>AE39+AE38</f>
        <v>86</v>
      </c>
      <c r="AF37" s="7">
        <f t="shared" si="30"/>
        <v>42.3</v>
      </c>
      <c r="AG37" s="7" t="s">
        <v>27</v>
      </c>
      <c r="AH37" s="60">
        <f>AH39+AH38</f>
        <v>43.7</v>
      </c>
      <c r="AI37" s="60">
        <f>AI39+AI38</f>
        <v>1208.2</v>
      </c>
      <c r="AJ37" s="7">
        <f t="shared" si="10"/>
        <v>1164.5</v>
      </c>
      <c r="AK37" s="7" t="s">
        <v>27</v>
      </c>
      <c r="AL37" s="59">
        <f>AL39+AL38</f>
        <v>43.5</v>
      </c>
      <c r="AM37" s="59">
        <f>AM39+AM38</f>
        <v>673</v>
      </c>
      <c r="AN37" s="7">
        <f t="shared" si="11"/>
        <v>629.5</v>
      </c>
      <c r="AO37" s="31" t="s">
        <v>27</v>
      </c>
      <c r="AP37" s="14">
        <f t="shared" si="68"/>
        <v>392.6</v>
      </c>
      <c r="AQ37" s="15">
        <f t="shared" si="68"/>
        <v>7164.3</v>
      </c>
      <c r="AR37" s="15">
        <f t="shared" si="13"/>
        <v>6771.7</v>
      </c>
      <c r="AS37" s="16" t="s">
        <v>27</v>
      </c>
      <c r="AT37" s="23">
        <f t="shared" si="51"/>
        <v>130.10000000000002</v>
      </c>
      <c r="AU37" s="486">
        <f t="shared" si="62"/>
        <v>931.1</v>
      </c>
      <c r="AV37" s="486">
        <f t="shared" si="40"/>
        <v>801</v>
      </c>
      <c r="AW37" s="488">
        <f t="shared" si="52"/>
        <v>715.6802459646425</v>
      </c>
      <c r="AX37" s="59">
        <f>AX39+AX38</f>
        <v>43.5</v>
      </c>
      <c r="AY37" s="59">
        <f>AY39+AY38</f>
        <v>931.1</v>
      </c>
      <c r="AZ37" s="7">
        <f t="shared" si="47"/>
        <v>887.6</v>
      </c>
      <c r="BA37" s="7">
        <f t="shared" si="63"/>
        <v>2140.459770114943</v>
      </c>
      <c r="BB37" s="60">
        <f>BB39+BB38</f>
        <v>43.4</v>
      </c>
      <c r="BC37" s="60">
        <f>BC39+BC38</f>
        <v>0</v>
      </c>
      <c r="BD37" s="7">
        <f t="shared" si="64"/>
        <v>-43.4</v>
      </c>
      <c r="BE37" s="17" t="s">
        <v>27</v>
      </c>
      <c r="BF37" s="60">
        <f>BF39+BF38</f>
        <v>43.2</v>
      </c>
      <c r="BG37" s="60">
        <f>BG39+BG38</f>
        <v>0</v>
      </c>
      <c r="BH37" s="7">
        <f t="shared" si="65"/>
        <v>-43.2</v>
      </c>
      <c r="BI37" s="183" t="s">
        <v>27</v>
      </c>
      <c r="BJ37" s="25">
        <f t="shared" si="34"/>
        <v>129.3</v>
      </c>
      <c r="BK37" s="486">
        <f t="shared" si="35"/>
        <v>0</v>
      </c>
      <c r="BL37" s="486">
        <f t="shared" si="36"/>
        <v>-129.3</v>
      </c>
      <c r="BM37" s="487">
        <f t="shared" si="66"/>
        <v>0</v>
      </c>
      <c r="BN37" s="285">
        <f>BN39+BN38</f>
        <v>43.2</v>
      </c>
      <c r="BO37" s="60">
        <f>BO39+BO38</f>
        <v>0</v>
      </c>
      <c r="BP37" s="7">
        <f t="shared" si="58"/>
        <v>-43.2</v>
      </c>
      <c r="BQ37" s="43">
        <f>BO37/BN37%</f>
        <v>0</v>
      </c>
      <c r="BR37" s="284">
        <f>BR39+BR38</f>
        <v>43.1</v>
      </c>
      <c r="BS37" s="59">
        <f>BS39+BS38</f>
        <v>0</v>
      </c>
      <c r="BT37" s="7">
        <f t="shared" si="67"/>
        <v>-43.1</v>
      </c>
      <c r="BU37" s="31" t="s">
        <v>27</v>
      </c>
      <c r="BV37" s="285">
        <f>BV39+BV38</f>
        <v>43</v>
      </c>
      <c r="BW37" s="59">
        <f>BW39+BW38</f>
        <v>0</v>
      </c>
      <c r="BX37" s="7">
        <f t="shared" si="59"/>
        <v>-43</v>
      </c>
      <c r="BY37" s="31" t="s">
        <v>27</v>
      </c>
      <c r="CE37" s="60">
        <f>CE39+CE38</f>
        <v>0</v>
      </c>
    </row>
    <row r="38" spans="1:83" s="1" customFormat="1" ht="22.5" customHeight="1">
      <c r="A38" s="45" t="s">
        <v>43</v>
      </c>
      <c r="B38" s="29">
        <f aca="true" t="shared" si="69" ref="B38:C41">J38+Z38+AT38+BJ38</f>
        <v>521.9000000000001</v>
      </c>
      <c r="C38" s="30">
        <f t="shared" si="69"/>
        <v>780.6999999999999</v>
      </c>
      <c r="D38" s="31">
        <f t="shared" si="0"/>
        <v>258.79999999999984</v>
      </c>
      <c r="E38" s="143">
        <f t="shared" si="1"/>
        <v>149.58804368652994</v>
      </c>
      <c r="F38" s="33">
        <f t="shared" si="26"/>
        <v>262.5</v>
      </c>
      <c r="G38" s="34">
        <f t="shared" si="26"/>
        <v>525.1999999999999</v>
      </c>
      <c r="H38" s="34">
        <f t="shared" si="2"/>
        <v>262.69999999999993</v>
      </c>
      <c r="I38" s="35">
        <f>G38/F38%</f>
        <v>200.07619047619045</v>
      </c>
      <c r="J38" s="36">
        <f t="shared" si="42"/>
        <v>131.6</v>
      </c>
      <c r="K38" s="37">
        <f t="shared" si="43"/>
        <v>233.29999999999998</v>
      </c>
      <c r="L38" s="37">
        <f t="shared" si="4"/>
        <v>101.69999999999999</v>
      </c>
      <c r="M38" s="42">
        <f t="shared" si="61"/>
        <v>177.27963525835867</v>
      </c>
      <c r="N38" s="56">
        <v>44</v>
      </c>
      <c r="O38" s="57">
        <v>125.6</v>
      </c>
      <c r="P38" s="31">
        <f t="shared" si="53"/>
        <v>81.6</v>
      </c>
      <c r="Q38" s="31" t="s">
        <v>27</v>
      </c>
      <c r="R38" s="57">
        <v>43.8</v>
      </c>
      <c r="S38" s="57">
        <v>53.8</v>
      </c>
      <c r="T38" s="31">
        <f t="shared" si="27"/>
        <v>10</v>
      </c>
      <c r="U38" s="7">
        <f t="shared" si="44"/>
        <v>122.83105022831052</v>
      </c>
      <c r="V38" s="57">
        <v>43.8</v>
      </c>
      <c r="W38" s="57">
        <v>53.9</v>
      </c>
      <c r="X38" s="31">
        <f t="shared" si="8"/>
        <v>10.100000000000001</v>
      </c>
      <c r="Y38" s="31">
        <f>W38/V38%</f>
        <v>123.05936073059362</v>
      </c>
      <c r="Z38" s="37">
        <f t="shared" si="39"/>
        <v>130.9</v>
      </c>
      <c r="AA38" s="37">
        <f t="shared" si="28"/>
        <v>291.9</v>
      </c>
      <c r="AB38" s="37">
        <f t="shared" si="29"/>
        <v>160.99999999999997</v>
      </c>
      <c r="AC38" s="37">
        <f t="shared" si="60"/>
        <v>222.99465240641706</v>
      </c>
      <c r="AD38" s="57">
        <v>43.7</v>
      </c>
      <c r="AE38" s="57">
        <v>53.7</v>
      </c>
      <c r="AF38" s="31">
        <f t="shared" si="30"/>
        <v>10</v>
      </c>
      <c r="AG38" s="31">
        <f t="shared" si="54"/>
        <v>122.883295194508</v>
      </c>
      <c r="AH38" s="57">
        <v>43.7</v>
      </c>
      <c r="AI38" s="57">
        <v>53.7</v>
      </c>
      <c r="AJ38" s="31">
        <f t="shared" si="10"/>
        <v>10</v>
      </c>
      <c r="AK38" s="31">
        <f t="shared" si="48"/>
        <v>122.883295194508</v>
      </c>
      <c r="AL38" s="57">
        <v>43.5</v>
      </c>
      <c r="AM38" s="57">
        <v>184.5</v>
      </c>
      <c r="AN38" s="31">
        <f t="shared" si="11"/>
        <v>141</v>
      </c>
      <c r="AO38" s="31" t="s">
        <v>27</v>
      </c>
      <c r="AP38" s="39">
        <f t="shared" si="68"/>
        <v>392.6</v>
      </c>
      <c r="AQ38" s="40">
        <f t="shared" si="68"/>
        <v>780.6999999999999</v>
      </c>
      <c r="AR38" s="40">
        <f t="shared" si="13"/>
        <v>388.0999999999999</v>
      </c>
      <c r="AS38" s="41" t="s">
        <v>27</v>
      </c>
      <c r="AT38" s="36">
        <f t="shared" si="51"/>
        <v>130.10000000000002</v>
      </c>
      <c r="AU38" s="37">
        <f t="shared" si="62"/>
        <v>255.5</v>
      </c>
      <c r="AV38" s="37">
        <f t="shared" si="40"/>
        <v>125.39999999999998</v>
      </c>
      <c r="AW38" s="490">
        <f t="shared" si="52"/>
        <v>196.3873943120676</v>
      </c>
      <c r="AX38" s="57">
        <v>43.5</v>
      </c>
      <c r="AY38" s="57">
        <v>255.5</v>
      </c>
      <c r="AZ38" s="31">
        <f t="shared" si="47"/>
        <v>212</v>
      </c>
      <c r="BA38" s="31">
        <f t="shared" si="63"/>
        <v>587.3563218390805</v>
      </c>
      <c r="BB38" s="56">
        <v>43.4</v>
      </c>
      <c r="BC38" s="57"/>
      <c r="BD38" s="31">
        <f t="shared" si="64"/>
        <v>-43.4</v>
      </c>
      <c r="BE38" s="27"/>
      <c r="BF38" s="56">
        <v>43.2</v>
      </c>
      <c r="BG38" s="57"/>
      <c r="BH38" s="31">
        <f t="shared" si="65"/>
        <v>-43.2</v>
      </c>
      <c r="BI38" s="27"/>
      <c r="BJ38" s="44">
        <f t="shared" si="34"/>
        <v>129.3</v>
      </c>
      <c r="BK38" s="37">
        <f t="shared" si="35"/>
        <v>0</v>
      </c>
      <c r="BL38" s="37">
        <f>BK38-BJ38</f>
        <v>-129.3</v>
      </c>
      <c r="BM38" s="42" t="s">
        <v>27</v>
      </c>
      <c r="BN38" s="280">
        <v>43.2</v>
      </c>
      <c r="BO38" s="57"/>
      <c r="BP38" s="7">
        <f t="shared" si="58"/>
        <v>-43.2</v>
      </c>
      <c r="BQ38" s="43" t="s">
        <v>27</v>
      </c>
      <c r="BR38" s="281">
        <v>43.1</v>
      </c>
      <c r="BS38" s="57"/>
      <c r="BT38" s="31">
        <f t="shared" si="67"/>
        <v>-43.1</v>
      </c>
      <c r="BU38" s="31" t="s">
        <v>27</v>
      </c>
      <c r="BV38" s="282">
        <v>43</v>
      </c>
      <c r="BW38" s="57"/>
      <c r="BX38" s="31">
        <f t="shared" si="59"/>
        <v>-43</v>
      </c>
      <c r="BY38" s="31">
        <f>BW38/BV38%</f>
        <v>0</v>
      </c>
      <c r="CE38" s="57"/>
    </row>
    <row r="39" spans="1:83" ht="21.75" customHeight="1">
      <c r="A39" s="62" t="s">
        <v>44</v>
      </c>
      <c r="B39" s="29">
        <f t="shared" si="69"/>
        <v>0</v>
      </c>
      <c r="C39" s="30">
        <f t="shared" si="69"/>
        <v>6383.6</v>
      </c>
      <c r="D39" s="32">
        <f t="shared" si="0"/>
        <v>6383.6</v>
      </c>
      <c r="E39" s="143"/>
      <c r="F39" s="33">
        <f t="shared" si="26"/>
        <v>0</v>
      </c>
      <c r="G39" s="34">
        <f t="shared" si="26"/>
        <v>5708</v>
      </c>
      <c r="H39" s="34">
        <f t="shared" si="2"/>
        <v>5708</v>
      </c>
      <c r="I39" s="35" t="e">
        <f>G39/F39%</f>
        <v>#DIV/0!</v>
      </c>
      <c r="J39" s="36">
        <f t="shared" si="42"/>
        <v>0</v>
      </c>
      <c r="K39" s="37">
        <f t="shared" si="43"/>
        <v>4032.7</v>
      </c>
      <c r="L39" s="37">
        <f t="shared" si="4"/>
        <v>4032.7</v>
      </c>
      <c r="M39" s="42"/>
      <c r="N39" s="56"/>
      <c r="O39" s="57">
        <v>3116.2</v>
      </c>
      <c r="P39" s="31">
        <f t="shared" si="53"/>
        <v>3116.2</v>
      </c>
      <c r="Q39" s="31"/>
      <c r="R39" s="57"/>
      <c r="S39" s="57">
        <v>268.1</v>
      </c>
      <c r="T39" s="31">
        <f t="shared" si="27"/>
        <v>268.1</v>
      </c>
      <c r="U39" s="7"/>
      <c r="V39" s="57"/>
      <c r="W39" s="57">
        <v>648.4</v>
      </c>
      <c r="X39" s="31">
        <f t="shared" si="8"/>
        <v>648.4</v>
      </c>
      <c r="Y39" s="31"/>
      <c r="Z39" s="37">
        <f t="shared" si="39"/>
        <v>0</v>
      </c>
      <c r="AA39" s="37">
        <f t="shared" si="28"/>
        <v>1675.3</v>
      </c>
      <c r="AB39" s="37">
        <f t="shared" si="29"/>
        <v>1675.3</v>
      </c>
      <c r="AC39" s="37"/>
      <c r="AD39" s="57"/>
      <c r="AE39" s="57">
        <v>32.3</v>
      </c>
      <c r="AF39" s="31">
        <f t="shared" si="30"/>
        <v>32.3</v>
      </c>
      <c r="AG39" s="31"/>
      <c r="AH39" s="57"/>
      <c r="AI39" s="57">
        <v>1154.5</v>
      </c>
      <c r="AJ39" s="31">
        <f t="shared" si="10"/>
        <v>1154.5</v>
      </c>
      <c r="AK39" s="31"/>
      <c r="AL39" s="57"/>
      <c r="AM39" s="57">
        <v>488.5</v>
      </c>
      <c r="AN39" s="31">
        <f t="shared" si="11"/>
        <v>488.5</v>
      </c>
      <c r="AO39" s="31"/>
      <c r="AP39" s="39">
        <f t="shared" si="68"/>
        <v>0</v>
      </c>
      <c r="AQ39" s="40">
        <f t="shared" si="68"/>
        <v>6383.6</v>
      </c>
      <c r="AR39" s="40">
        <f t="shared" si="13"/>
        <v>6383.6</v>
      </c>
      <c r="AS39" s="41" t="s">
        <v>27</v>
      </c>
      <c r="AT39" s="36">
        <f t="shared" si="51"/>
        <v>0</v>
      </c>
      <c r="AU39" s="37">
        <f t="shared" si="62"/>
        <v>675.6</v>
      </c>
      <c r="AV39" s="37">
        <f t="shared" si="40"/>
        <v>675.6</v>
      </c>
      <c r="AW39" s="490"/>
      <c r="AX39" s="57"/>
      <c r="AY39" s="57">
        <v>675.6</v>
      </c>
      <c r="AZ39" s="31">
        <f t="shared" si="47"/>
        <v>675.6</v>
      </c>
      <c r="BA39" s="31"/>
      <c r="BB39" s="56"/>
      <c r="BC39" s="57"/>
      <c r="BD39" s="31">
        <f t="shared" si="64"/>
        <v>0</v>
      </c>
      <c r="BE39" s="27"/>
      <c r="BF39" s="56"/>
      <c r="BG39" s="57"/>
      <c r="BH39" s="31">
        <f t="shared" si="65"/>
        <v>0</v>
      </c>
      <c r="BI39" s="48" t="s">
        <v>27</v>
      </c>
      <c r="BJ39" s="44">
        <f t="shared" si="34"/>
        <v>0</v>
      </c>
      <c r="BK39" s="37">
        <f t="shared" si="35"/>
        <v>0</v>
      </c>
      <c r="BL39" s="37">
        <f>BK39-BJ39</f>
        <v>0</v>
      </c>
      <c r="BM39" s="487" t="e">
        <f t="shared" si="66"/>
        <v>#DIV/0!</v>
      </c>
      <c r="BN39" s="280"/>
      <c r="BO39" s="57"/>
      <c r="BP39" s="7">
        <f t="shared" si="58"/>
        <v>0</v>
      </c>
      <c r="BQ39" s="43" t="e">
        <f>BO39/BN39%</f>
        <v>#DIV/0!</v>
      </c>
      <c r="BR39" s="281"/>
      <c r="BS39" s="57"/>
      <c r="BT39" s="31">
        <f t="shared" si="67"/>
        <v>0</v>
      </c>
      <c r="BU39" s="31"/>
      <c r="BV39" s="282"/>
      <c r="BW39" s="57"/>
      <c r="BX39" s="31">
        <f t="shared" si="59"/>
        <v>0</v>
      </c>
      <c r="BY39" s="31" t="e">
        <f>BW39/BV39%</f>
        <v>#DIV/0!</v>
      </c>
      <c r="CE39" s="57"/>
    </row>
    <row r="40" spans="1:83" s="20" customFormat="1" ht="31.5" customHeight="1" thickBot="1">
      <c r="A40" s="63" t="s">
        <v>45</v>
      </c>
      <c r="B40" s="65">
        <f t="shared" si="69"/>
        <v>117.80000000000001</v>
      </c>
      <c r="C40" s="66">
        <f t="shared" si="69"/>
        <v>2370.7</v>
      </c>
      <c r="D40" s="67">
        <f t="shared" si="0"/>
        <v>2252.8999999999996</v>
      </c>
      <c r="E40" s="19">
        <f t="shared" si="1"/>
        <v>2012.4787775891336</v>
      </c>
      <c r="F40" s="9">
        <f>J40+Z40</f>
        <v>84.2</v>
      </c>
      <c r="G40" s="10">
        <f>K40+AA40</f>
        <v>2103.1</v>
      </c>
      <c r="H40" s="10">
        <f>G40-F40</f>
        <v>2018.8999999999999</v>
      </c>
      <c r="I40" s="182" t="s">
        <v>27</v>
      </c>
      <c r="J40" s="23">
        <f t="shared" si="42"/>
        <v>39.2</v>
      </c>
      <c r="K40" s="486">
        <f t="shared" si="43"/>
        <v>803.9</v>
      </c>
      <c r="L40" s="486">
        <f>K40-J40</f>
        <v>764.6999999999999</v>
      </c>
      <c r="M40" s="487">
        <f t="shared" si="61"/>
        <v>2050.7653061224487</v>
      </c>
      <c r="N40" s="60">
        <v>5.7</v>
      </c>
      <c r="O40" s="59">
        <v>176</v>
      </c>
      <c r="P40" s="7">
        <f t="shared" si="53"/>
        <v>170.3</v>
      </c>
      <c r="Q40" s="31" t="s">
        <v>27</v>
      </c>
      <c r="R40" s="59">
        <v>13</v>
      </c>
      <c r="S40" s="59">
        <v>420.3</v>
      </c>
      <c r="T40" s="7">
        <f t="shared" si="27"/>
        <v>407.3</v>
      </c>
      <c r="U40" s="7" t="s">
        <v>27</v>
      </c>
      <c r="V40" s="59">
        <v>20.5</v>
      </c>
      <c r="W40" s="59">
        <v>207.6</v>
      </c>
      <c r="X40" s="7">
        <f t="shared" si="8"/>
        <v>187.1</v>
      </c>
      <c r="Y40" s="7" t="s">
        <v>94</v>
      </c>
      <c r="Z40" s="486">
        <f t="shared" si="39"/>
        <v>45</v>
      </c>
      <c r="AA40" s="486">
        <f t="shared" si="28"/>
        <v>1299.1999999999998</v>
      </c>
      <c r="AB40" s="486">
        <f t="shared" si="29"/>
        <v>1254.1999999999998</v>
      </c>
      <c r="AC40" s="486" t="s">
        <v>27</v>
      </c>
      <c r="AD40" s="59">
        <v>21.4</v>
      </c>
      <c r="AE40" s="59">
        <v>273.9</v>
      </c>
      <c r="AF40" s="7">
        <f t="shared" si="30"/>
        <v>252.49999999999997</v>
      </c>
      <c r="AG40" s="7" t="s">
        <v>27</v>
      </c>
      <c r="AH40" s="59">
        <v>11.6</v>
      </c>
      <c r="AI40" s="59">
        <v>453.9</v>
      </c>
      <c r="AJ40" s="7">
        <f t="shared" si="10"/>
        <v>442.29999999999995</v>
      </c>
      <c r="AK40" s="7" t="s">
        <v>27</v>
      </c>
      <c r="AL40" s="284">
        <v>12</v>
      </c>
      <c r="AM40" s="59">
        <v>571.4</v>
      </c>
      <c r="AN40" s="7">
        <f t="shared" si="11"/>
        <v>559.4</v>
      </c>
      <c r="AO40" s="31" t="s">
        <v>27</v>
      </c>
      <c r="AP40" s="14">
        <f t="shared" si="68"/>
        <v>107.30000000000001</v>
      </c>
      <c r="AQ40" s="15">
        <f>K40+AA40+AU40</f>
        <v>2370.7</v>
      </c>
      <c r="AR40" s="15">
        <f>AQ40-AP40</f>
        <v>2263.3999999999996</v>
      </c>
      <c r="AS40" s="16" t="s">
        <v>27</v>
      </c>
      <c r="AT40" s="23">
        <f t="shared" si="51"/>
        <v>23.1</v>
      </c>
      <c r="AU40" s="486">
        <f t="shared" si="62"/>
        <v>267.6</v>
      </c>
      <c r="AV40" s="486">
        <f t="shared" si="40"/>
        <v>244.50000000000003</v>
      </c>
      <c r="AW40" s="488">
        <f t="shared" si="52"/>
        <v>1158.4415584415585</v>
      </c>
      <c r="AX40" s="284">
        <v>13.2</v>
      </c>
      <c r="AY40" s="59">
        <v>267.6</v>
      </c>
      <c r="AZ40" s="7">
        <f t="shared" si="47"/>
        <v>254.40000000000003</v>
      </c>
      <c r="BA40" s="7">
        <f t="shared" si="63"/>
        <v>2027.2727272727273</v>
      </c>
      <c r="BB40" s="287">
        <v>4.9</v>
      </c>
      <c r="BC40" s="69"/>
      <c r="BD40" s="81">
        <f>BC40-BB40</f>
        <v>-4.9</v>
      </c>
      <c r="BE40" s="17" t="s">
        <v>27</v>
      </c>
      <c r="BF40" s="287">
        <v>5</v>
      </c>
      <c r="BG40" s="69"/>
      <c r="BH40" s="70">
        <f>BG40-BF40</f>
        <v>-5</v>
      </c>
      <c r="BI40" s="48" t="s">
        <v>27</v>
      </c>
      <c r="BJ40" s="25">
        <f t="shared" si="34"/>
        <v>10.5</v>
      </c>
      <c r="BK40" s="486">
        <f t="shared" si="35"/>
        <v>0</v>
      </c>
      <c r="BL40" s="486">
        <f>BK40-BJ40</f>
        <v>-10.5</v>
      </c>
      <c r="BM40" s="487">
        <f>BK40/BJ40%</f>
        <v>0</v>
      </c>
      <c r="BN40" s="283">
        <v>4.1</v>
      </c>
      <c r="BO40" s="59"/>
      <c r="BP40" s="7">
        <f t="shared" si="58"/>
        <v>-4.1</v>
      </c>
      <c r="BQ40" s="43" t="s">
        <v>27</v>
      </c>
      <c r="BR40" s="284">
        <v>3.9</v>
      </c>
      <c r="BS40" s="59"/>
      <c r="BT40" s="7">
        <f t="shared" si="67"/>
        <v>-3.9</v>
      </c>
      <c r="BU40" s="31" t="s">
        <v>27</v>
      </c>
      <c r="BV40" s="285">
        <v>2.5</v>
      </c>
      <c r="BW40" s="59"/>
      <c r="BX40" s="7">
        <f t="shared" si="59"/>
        <v>-2.5</v>
      </c>
      <c r="BY40" s="7">
        <f>BW40/BV40%</f>
        <v>0</v>
      </c>
      <c r="CE40" s="69"/>
    </row>
    <row r="41" spans="1:83" s="96" customFormat="1" ht="24" customHeight="1" hidden="1">
      <c r="A41" s="184" t="s">
        <v>46</v>
      </c>
      <c r="B41" s="71">
        <f t="shared" si="69"/>
        <v>0</v>
      </c>
      <c r="C41" s="72">
        <f t="shared" si="69"/>
        <v>0</v>
      </c>
      <c r="D41" s="73">
        <f t="shared" si="0"/>
        <v>0</v>
      </c>
      <c r="E41" s="74"/>
      <c r="F41" s="75">
        <f>J41+Z41</f>
        <v>0</v>
      </c>
      <c r="G41" s="76">
        <f>K41+AA41</f>
        <v>0</v>
      </c>
      <c r="H41" s="76">
        <f>G41-F41</f>
        <v>0</v>
      </c>
      <c r="I41" s="77"/>
      <c r="J41" s="78">
        <f t="shared" si="42"/>
        <v>0</v>
      </c>
      <c r="K41" s="79">
        <f t="shared" si="43"/>
        <v>0</v>
      </c>
      <c r="L41" s="79">
        <f>K41-J41</f>
        <v>0</v>
      </c>
      <c r="M41" s="95"/>
      <c r="N41" s="80"/>
      <c r="O41" s="69"/>
      <c r="P41" s="81">
        <f>O41-N41</f>
        <v>0</v>
      </c>
      <c r="Q41" s="7"/>
      <c r="R41" s="69"/>
      <c r="S41" s="69"/>
      <c r="T41" s="81">
        <f>S41-R41</f>
        <v>0</v>
      </c>
      <c r="U41" s="7"/>
      <c r="V41" s="69"/>
      <c r="W41" s="69"/>
      <c r="X41" s="70">
        <f>W41-V41</f>
        <v>0</v>
      </c>
      <c r="Y41" s="70"/>
      <c r="Z41" s="79">
        <f t="shared" si="39"/>
        <v>0</v>
      </c>
      <c r="AA41" s="79">
        <f t="shared" si="28"/>
        <v>0</v>
      </c>
      <c r="AB41" s="79">
        <f t="shared" si="29"/>
        <v>0</v>
      </c>
      <c r="AC41" s="79"/>
      <c r="AD41" s="69"/>
      <c r="AE41" s="69"/>
      <c r="AF41" s="81">
        <f>AE41-AD41</f>
        <v>0</v>
      </c>
      <c r="AG41" s="70"/>
      <c r="AH41" s="69"/>
      <c r="AI41" s="69"/>
      <c r="AJ41" s="81">
        <f>AI41-AH41</f>
        <v>0</v>
      </c>
      <c r="AK41" s="7"/>
      <c r="AL41" s="59"/>
      <c r="AM41" s="59"/>
      <c r="AN41" s="7">
        <f>AM41-AL41</f>
        <v>0</v>
      </c>
      <c r="AO41" s="31"/>
      <c r="AP41" s="82">
        <f t="shared" si="68"/>
        <v>0</v>
      </c>
      <c r="AQ41" s="83">
        <f>K41+AA41+AU41</f>
        <v>0</v>
      </c>
      <c r="AR41" s="83">
        <f>AQ41-AP41</f>
        <v>0</v>
      </c>
      <c r="AS41" s="84"/>
      <c r="AT41" s="85">
        <f t="shared" si="51"/>
        <v>0</v>
      </c>
      <c r="AU41" s="86">
        <f t="shared" si="62"/>
        <v>0</v>
      </c>
      <c r="AV41" s="86">
        <f t="shared" si="40"/>
        <v>0</v>
      </c>
      <c r="AW41" s="87"/>
      <c r="AX41" s="88"/>
      <c r="AY41" s="89"/>
      <c r="AZ41" s="90">
        <f>AY41-AX41</f>
        <v>0</v>
      </c>
      <c r="BA41" s="91"/>
      <c r="BB41" s="88"/>
      <c r="BC41" s="89"/>
      <c r="BD41" s="90">
        <f>BC41-BB41</f>
        <v>0</v>
      </c>
      <c r="BE41" s="92"/>
      <c r="BF41" s="68"/>
      <c r="BG41" s="89"/>
      <c r="BH41" s="81">
        <f>BG41-BF41</f>
        <v>0</v>
      </c>
      <c r="BI41" s="93"/>
      <c r="BJ41" s="94">
        <f t="shared" si="34"/>
        <v>0</v>
      </c>
      <c r="BK41" s="79">
        <f t="shared" si="35"/>
        <v>0</v>
      </c>
      <c r="BL41" s="79">
        <f>BK41-BJ41</f>
        <v>0</v>
      </c>
      <c r="BM41" s="95"/>
      <c r="BN41" s="286"/>
      <c r="BO41" s="69"/>
      <c r="BP41" s="81">
        <f t="shared" si="58"/>
        <v>0</v>
      </c>
      <c r="BQ41" s="43"/>
      <c r="BR41" s="284"/>
      <c r="BS41" s="59"/>
      <c r="BT41" s="7">
        <f>BS41-BR41</f>
        <v>0</v>
      </c>
      <c r="BU41" s="7"/>
      <c r="BV41" s="285"/>
      <c r="BW41" s="59"/>
      <c r="BX41" s="7">
        <f t="shared" si="59"/>
        <v>0</v>
      </c>
      <c r="BY41" s="31"/>
      <c r="CE41" s="89"/>
    </row>
    <row r="42" spans="1:83" ht="20.25">
      <c r="A42" s="185"/>
      <c r="B42" s="186"/>
      <c r="C42" s="187"/>
      <c r="D42" s="186"/>
      <c r="E42" s="186"/>
      <c r="F42" s="186"/>
      <c r="G42" s="186"/>
      <c r="H42" s="186"/>
      <c r="I42" s="186"/>
      <c r="J42" s="186"/>
      <c r="K42" s="186"/>
      <c r="L42" s="186"/>
      <c r="M42" s="188"/>
      <c r="N42" s="189"/>
      <c r="O42" s="189"/>
      <c r="P42" s="189"/>
      <c r="Q42" s="190"/>
      <c r="R42" s="189"/>
      <c r="S42" s="189"/>
      <c r="T42" s="189"/>
      <c r="U42" s="191"/>
      <c r="V42" s="189"/>
      <c r="W42" s="189" t="s">
        <v>83</v>
      </c>
      <c r="X42" s="189"/>
      <c r="Y42" s="192"/>
      <c r="Z42" s="186"/>
      <c r="AA42" s="186"/>
      <c r="AB42" s="186"/>
      <c r="AC42" s="186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6"/>
      <c r="AU42" s="186"/>
      <c r="AV42" s="186"/>
      <c r="AW42" s="193"/>
      <c r="AX42" s="187"/>
      <c r="AY42" s="187"/>
      <c r="AZ42" s="187"/>
      <c r="BA42" s="187"/>
      <c r="BB42" s="187"/>
      <c r="BC42" s="187" t="s">
        <v>83</v>
      </c>
      <c r="BD42" s="187"/>
      <c r="BE42" s="187"/>
      <c r="BF42" s="187"/>
      <c r="BG42" s="187"/>
      <c r="BH42" s="187"/>
      <c r="BI42" s="187"/>
      <c r="BJ42" s="187"/>
      <c r="BK42" s="186"/>
      <c r="BL42" s="186"/>
      <c r="BM42" s="186"/>
      <c r="BN42" s="187"/>
      <c r="BO42" s="187"/>
      <c r="BP42" s="187"/>
      <c r="BQ42" s="187"/>
      <c r="CE42" s="187"/>
    </row>
    <row r="43" spans="2:83" ht="20.25">
      <c r="B43" s="186"/>
      <c r="C43" s="187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7"/>
      <c r="O43" s="187"/>
      <c r="P43" s="187"/>
      <c r="R43" s="187"/>
      <c r="S43" s="187"/>
      <c r="T43" s="187"/>
      <c r="V43" s="187"/>
      <c r="W43" s="187"/>
      <c r="X43" s="187"/>
      <c r="Z43" s="186"/>
      <c r="AA43" s="186"/>
      <c r="AB43" s="186"/>
      <c r="AC43" s="186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6"/>
      <c r="AU43" s="186"/>
      <c r="AV43" s="186"/>
      <c r="AW43" s="193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6"/>
      <c r="BL43" s="186"/>
      <c r="BM43" s="186"/>
      <c r="BN43" s="187"/>
      <c r="BO43" s="187"/>
      <c r="BP43" s="187"/>
      <c r="BQ43" s="187"/>
      <c r="CE43" s="187"/>
    </row>
    <row r="44" spans="2:83" ht="20.25">
      <c r="B44" s="186"/>
      <c r="C44" s="194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7"/>
      <c r="O44" s="187"/>
      <c r="P44" s="187"/>
      <c r="R44" s="187"/>
      <c r="S44" s="187"/>
      <c r="T44" s="187"/>
      <c r="V44" s="187"/>
      <c r="W44" s="187"/>
      <c r="X44" s="187"/>
      <c r="Z44" s="186"/>
      <c r="AA44" s="186"/>
      <c r="AB44" s="186"/>
      <c r="AC44" s="186"/>
      <c r="AD44" s="187"/>
      <c r="AE44" s="195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6"/>
      <c r="AU44" s="186"/>
      <c r="AV44" s="186"/>
      <c r="AW44" s="193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6"/>
      <c r="BL44" s="186"/>
      <c r="BM44" s="186"/>
      <c r="BN44" s="187"/>
      <c r="BO44" s="187"/>
      <c r="BP44" s="187"/>
      <c r="BQ44" s="187"/>
      <c r="CE44" s="187"/>
    </row>
    <row r="45" spans="2:83" ht="20.25">
      <c r="B45" s="186"/>
      <c r="C45" s="194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7"/>
      <c r="O45" s="187"/>
      <c r="P45" s="187"/>
      <c r="R45" s="187"/>
      <c r="S45" s="187"/>
      <c r="T45" s="187"/>
      <c r="V45" s="187"/>
      <c r="W45" s="187"/>
      <c r="X45" s="187"/>
      <c r="Z45" s="186"/>
      <c r="AA45" s="186"/>
      <c r="AB45" s="186"/>
      <c r="AC45" s="186"/>
      <c r="AD45" s="187"/>
      <c r="AE45" s="195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6"/>
      <c r="AU45" s="186"/>
      <c r="AV45" s="186"/>
      <c r="AW45" s="193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6"/>
      <c r="BL45" s="186"/>
      <c r="BM45" s="186"/>
      <c r="BN45" s="187"/>
      <c r="BO45" s="187"/>
      <c r="BP45" s="187"/>
      <c r="BQ45" s="187"/>
      <c r="CE45" s="187"/>
    </row>
    <row r="46" spans="2:83" ht="20.25">
      <c r="B46" s="186"/>
      <c r="C46" s="194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7"/>
      <c r="O46" s="187"/>
      <c r="P46" s="187"/>
      <c r="R46" s="187"/>
      <c r="S46" s="187"/>
      <c r="T46" s="187"/>
      <c r="V46" s="187"/>
      <c r="W46" s="187"/>
      <c r="X46" s="187"/>
      <c r="Z46" s="186"/>
      <c r="AA46" s="186"/>
      <c r="AB46" s="186"/>
      <c r="AC46" s="186"/>
      <c r="AD46" s="187"/>
      <c r="AE46" s="195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6"/>
      <c r="AU46" s="186"/>
      <c r="AV46" s="186"/>
      <c r="AW46" s="193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6"/>
      <c r="BL46" s="186"/>
      <c r="BM46" s="186"/>
      <c r="BN46" s="187"/>
      <c r="BO46" s="187"/>
      <c r="BP46" s="187"/>
      <c r="BQ46" s="187"/>
      <c r="CE46" s="187"/>
    </row>
    <row r="47" spans="2:83" ht="20.25">
      <c r="B47" s="186"/>
      <c r="C47" s="187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7"/>
      <c r="O47" s="187"/>
      <c r="P47" s="187"/>
      <c r="R47" s="187"/>
      <c r="S47" s="187"/>
      <c r="T47" s="187"/>
      <c r="V47" s="187"/>
      <c r="W47" s="187"/>
      <c r="X47" s="187"/>
      <c r="Z47" s="186"/>
      <c r="AA47" s="186"/>
      <c r="AB47" s="186"/>
      <c r="AC47" s="186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6"/>
      <c r="AU47" s="186"/>
      <c r="AV47" s="186"/>
      <c r="AW47" s="193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6"/>
      <c r="BL47" s="186"/>
      <c r="BM47" s="186"/>
      <c r="BN47" s="187"/>
      <c r="BO47" s="187"/>
      <c r="BP47" s="187"/>
      <c r="BQ47" s="187"/>
      <c r="CE47" s="187"/>
    </row>
    <row r="48" spans="2:83" ht="20.25">
      <c r="B48" s="186"/>
      <c r="C48" s="187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7"/>
      <c r="O48" s="187"/>
      <c r="P48" s="187"/>
      <c r="R48" s="187"/>
      <c r="S48" s="187"/>
      <c r="T48" s="187"/>
      <c r="V48" s="187"/>
      <c r="W48" s="187"/>
      <c r="X48" s="187"/>
      <c r="Z48" s="186"/>
      <c r="AA48" s="186"/>
      <c r="AB48" s="186"/>
      <c r="AC48" s="186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6"/>
      <c r="AU48" s="186"/>
      <c r="AV48" s="186"/>
      <c r="AW48" s="193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6"/>
      <c r="BL48" s="186"/>
      <c r="BM48" s="186"/>
      <c r="BN48" s="187"/>
      <c r="BO48" s="187"/>
      <c r="BP48" s="187"/>
      <c r="BQ48" s="187"/>
      <c r="CE48" s="187"/>
    </row>
    <row r="49" spans="2:83" ht="20.25">
      <c r="B49" s="186"/>
      <c r="C49" s="187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7"/>
      <c r="O49" s="187"/>
      <c r="P49" s="187"/>
      <c r="R49" s="187"/>
      <c r="S49" s="187"/>
      <c r="T49" s="187"/>
      <c r="V49" s="187"/>
      <c r="W49" s="187"/>
      <c r="X49" s="187"/>
      <c r="Z49" s="186"/>
      <c r="AA49" s="186"/>
      <c r="AB49" s="186"/>
      <c r="AC49" s="186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6"/>
      <c r="AU49" s="186"/>
      <c r="AV49" s="186"/>
      <c r="AW49" s="193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6"/>
      <c r="BL49" s="186"/>
      <c r="BM49" s="186"/>
      <c r="BN49" s="187"/>
      <c r="BO49" s="187"/>
      <c r="BP49" s="187"/>
      <c r="BQ49" s="187"/>
      <c r="CE49" s="187"/>
    </row>
    <row r="50" spans="2:83" ht="20.25">
      <c r="B50" s="186"/>
      <c r="C50" s="187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  <c r="O50" s="187"/>
      <c r="P50" s="187"/>
      <c r="R50" s="187"/>
      <c r="S50" s="187"/>
      <c r="T50" s="187"/>
      <c r="V50" s="187"/>
      <c r="W50" s="187"/>
      <c r="X50" s="187"/>
      <c r="Z50" s="186"/>
      <c r="AA50" s="186"/>
      <c r="AB50" s="186"/>
      <c r="AC50" s="186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6"/>
      <c r="AU50" s="186"/>
      <c r="AV50" s="186"/>
      <c r="AW50" s="193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6"/>
      <c r="BL50" s="186"/>
      <c r="BM50" s="186"/>
      <c r="BN50" s="187"/>
      <c r="BO50" s="187"/>
      <c r="BP50" s="187"/>
      <c r="BQ50" s="187"/>
      <c r="CE50" s="187"/>
    </row>
    <row r="51" spans="2:83" ht="20.25">
      <c r="B51" s="186"/>
      <c r="C51" s="187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  <c r="O51" s="187"/>
      <c r="P51" s="187"/>
      <c r="R51" s="187"/>
      <c r="S51" s="187"/>
      <c r="T51" s="187"/>
      <c r="V51" s="187"/>
      <c r="W51" s="187"/>
      <c r="X51" s="187"/>
      <c r="Z51" s="186"/>
      <c r="AA51" s="186"/>
      <c r="AB51" s="186"/>
      <c r="AC51" s="186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6"/>
      <c r="AU51" s="186"/>
      <c r="AV51" s="186"/>
      <c r="AW51" s="193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6"/>
      <c r="BL51" s="186"/>
      <c r="BM51" s="186"/>
      <c r="BN51" s="187"/>
      <c r="BO51" s="187"/>
      <c r="BP51" s="187"/>
      <c r="BQ51" s="187"/>
      <c r="CE51" s="187"/>
    </row>
    <row r="52" spans="2:83" ht="20.25">
      <c r="B52" s="186"/>
      <c r="C52" s="187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  <c r="O52" s="187"/>
      <c r="P52" s="187"/>
      <c r="R52" s="187"/>
      <c r="S52" s="187"/>
      <c r="T52" s="187"/>
      <c r="V52" s="187"/>
      <c r="W52" s="187"/>
      <c r="X52" s="187"/>
      <c r="Z52" s="186"/>
      <c r="AA52" s="186"/>
      <c r="AB52" s="186"/>
      <c r="AC52" s="186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6"/>
      <c r="AU52" s="186"/>
      <c r="AV52" s="186"/>
      <c r="AW52" s="193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6"/>
      <c r="BL52" s="186"/>
      <c r="BM52" s="186"/>
      <c r="BN52" s="187"/>
      <c r="BO52" s="187"/>
      <c r="BP52" s="187"/>
      <c r="BQ52" s="187"/>
      <c r="CE52" s="187"/>
    </row>
    <row r="53" spans="2:83" ht="20.25">
      <c r="B53" s="186"/>
      <c r="C53" s="187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7"/>
      <c r="O53" s="187"/>
      <c r="P53" s="187"/>
      <c r="R53" s="187"/>
      <c r="S53" s="187"/>
      <c r="T53" s="187"/>
      <c r="V53" s="187"/>
      <c r="W53" s="187"/>
      <c r="X53" s="187"/>
      <c r="Z53" s="186"/>
      <c r="AA53" s="186"/>
      <c r="AB53" s="186"/>
      <c r="AC53" s="186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6"/>
      <c r="AU53" s="186"/>
      <c r="AV53" s="186"/>
      <c r="AW53" s="193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6"/>
      <c r="BL53" s="186"/>
      <c r="BM53" s="186"/>
      <c r="BN53" s="187"/>
      <c r="BO53" s="187"/>
      <c r="BP53" s="187"/>
      <c r="BQ53" s="187"/>
      <c r="CE53" s="187"/>
    </row>
    <row r="54" spans="2:83" ht="20.25">
      <c r="B54" s="186"/>
      <c r="C54" s="187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7"/>
      <c r="O54" s="187"/>
      <c r="P54" s="187"/>
      <c r="R54" s="187"/>
      <c r="S54" s="187"/>
      <c r="T54" s="187"/>
      <c r="V54" s="187"/>
      <c r="W54" s="187"/>
      <c r="X54" s="187"/>
      <c r="Z54" s="186"/>
      <c r="AA54" s="186"/>
      <c r="AB54" s="186"/>
      <c r="AC54" s="186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6"/>
      <c r="AU54" s="186"/>
      <c r="AV54" s="186"/>
      <c r="AW54" s="193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6"/>
      <c r="BL54" s="186"/>
      <c r="BM54" s="186"/>
      <c r="BN54" s="187"/>
      <c r="BO54" s="187"/>
      <c r="BP54" s="187"/>
      <c r="BQ54" s="187"/>
      <c r="CE54" s="187"/>
    </row>
    <row r="55" spans="2:83" ht="20.25">
      <c r="B55" s="186"/>
      <c r="C55" s="187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7"/>
      <c r="O55" s="187"/>
      <c r="P55" s="187"/>
      <c r="R55" s="187"/>
      <c r="S55" s="187"/>
      <c r="T55" s="187"/>
      <c r="V55" s="187"/>
      <c r="W55" s="187"/>
      <c r="X55" s="187"/>
      <c r="Z55" s="186"/>
      <c r="AA55" s="186"/>
      <c r="AB55" s="186"/>
      <c r="AC55" s="186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6"/>
      <c r="AU55" s="186"/>
      <c r="AV55" s="186"/>
      <c r="AW55" s="193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6"/>
      <c r="BL55" s="186"/>
      <c r="BM55" s="186"/>
      <c r="BN55" s="187"/>
      <c r="BO55" s="187"/>
      <c r="BP55" s="187"/>
      <c r="BQ55" s="187"/>
      <c r="CE55" s="187"/>
    </row>
    <row r="56" spans="1:83" s="1" customFormat="1" ht="20.25">
      <c r="A56" s="97"/>
      <c r="B56" s="186"/>
      <c r="C56" s="187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7"/>
      <c r="O56" s="187"/>
      <c r="P56" s="187"/>
      <c r="Q56" s="148"/>
      <c r="R56" s="187"/>
      <c r="S56" s="187"/>
      <c r="T56" s="187"/>
      <c r="V56" s="187"/>
      <c r="W56" s="187"/>
      <c r="X56" s="187"/>
      <c r="Y56" s="2"/>
      <c r="Z56" s="186"/>
      <c r="AA56" s="186"/>
      <c r="AB56" s="186"/>
      <c r="AC56" s="186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6"/>
      <c r="AU56" s="186"/>
      <c r="AV56" s="186"/>
      <c r="AW56" s="193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6"/>
      <c r="BL56" s="186"/>
      <c r="BM56" s="186"/>
      <c r="BN56" s="187"/>
      <c r="BO56" s="187"/>
      <c r="BP56" s="187"/>
      <c r="BQ56" s="187"/>
      <c r="CE56" s="187"/>
    </row>
    <row r="57" spans="1:83" s="1" customFormat="1" ht="20.25">
      <c r="A57" s="97"/>
      <c r="B57" s="186"/>
      <c r="C57" s="187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7"/>
      <c r="O57" s="187"/>
      <c r="P57" s="187"/>
      <c r="Q57" s="148"/>
      <c r="R57" s="187"/>
      <c r="S57" s="187"/>
      <c r="T57" s="187"/>
      <c r="V57" s="187"/>
      <c r="W57" s="187"/>
      <c r="X57" s="187"/>
      <c r="Y57" s="2"/>
      <c r="Z57" s="186"/>
      <c r="AA57" s="186"/>
      <c r="AB57" s="186"/>
      <c r="AC57" s="186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6"/>
      <c r="AU57" s="186"/>
      <c r="AV57" s="186"/>
      <c r="AW57" s="193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6"/>
      <c r="BL57" s="186"/>
      <c r="BM57" s="186"/>
      <c r="BN57" s="187"/>
      <c r="BO57" s="187"/>
      <c r="BP57" s="187"/>
      <c r="BQ57" s="187"/>
      <c r="CE57" s="187"/>
    </row>
    <row r="58" spans="1:83" s="1" customFormat="1" ht="20.25">
      <c r="A58" s="97"/>
      <c r="B58" s="186"/>
      <c r="C58" s="187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7"/>
      <c r="O58" s="187"/>
      <c r="P58" s="187"/>
      <c r="Q58" s="148"/>
      <c r="R58" s="187"/>
      <c r="S58" s="187"/>
      <c r="T58" s="187"/>
      <c r="V58" s="187"/>
      <c r="W58" s="187"/>
      <c r="X58" s="187"/>
      <c r="Y58" s="2"/>
      <c r="Z58" s="186"/>
      <c r="AA58" s="186"/>
      <c r="AB58" s="186"/>
      <c r="AC58" s="186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6"/>
      <c r="AU58" s="186"/>
      <c r="AV58" s="186"/>
      <c r="AW58" s="193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6"/>
      <c r="BL58" s="186"/>
      <c r="BM58" s="186"/>
      <c r="BN58" s="187"/>
      <c r="BO58" s="187"/>
      <c r="BP58" s="187"/>
      <c r="BQ58" s="187"/>
      <c r="CE58" s="187"/>
    </row>
    <row r="59" spans="1:83" s="1" customFormat="1" ht="20.25">
      <c r="A59" s="97"/>
      <c r="B59" s="186"/>
      <c r="C59" s="187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7"/>
      <c r="O59" s="187"/>
      <c r="P59" s="187"/>
      <c r="Q59" s="148"/>
      <c r="R59" s="187"/>
      <c r="S59" s="187"/>
      <c r="T59" s="187"/>
      <c r="V59" s="187"/>
      <c r="W59" s="187"/>
      <c r="X59" s="187"/>
      <c r="Y59" s="2"/>
      <c r="Z59" s="186"/>
      <c r="AA59" s="186"/>
      <c r="AB59" s="186"/>
      <c r="AC59" s="186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6"/>
      <c r="AU59" s="186"/>
      <c r="AV59" s="186"/>
      <c r="AW59" s="193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6"/>
      <c r="BL59" s="186"/>
      <c r="BM59" s="186"/>
      <c r="BN59" s="187"/>
      <c r="BO59" s="187"/>
      <c r="BP59" s="187"/>
      <c r="BQ59" s="187"/>
      <c r="CE59" s="187"/>
    </row>
    <row r="60" spans="1:83" s="1" customFormat="1" ht="20.25">
      <c r="A60" s="97"/>
      <c r="B60" s="186"/>
      <c r="C60" s="187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7"/>
      <c r="O60" s="187"/>
      <c r="P60" s="187"/>
      <c r="Q60" s="148"/>
      <c r="R60" s="187"/>
      <c r="S60" s="187"/>
      <c r="T60" s="187"/>
      <c r="V60" s="187"/>
      <c r="W60" s="187"/>
      <c r="X60" s="187"/>
      <c r="Y60" s="2"/>
      <c r="Z60" s="186"/>
      <c r="AA60" s="186"/>
      <c r="AB60" s="186"/>
      <c r="AC60" s="186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6"/>
      <c r="AU60" s="186"/>
      <c r="AV60" s="186"/>
      <c r="AW60" s="193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6"/>
      <c r="BL60" s="186"/>
      <c r="BM60" s="186"/>
      <c r="BN60" s="187"/>
      <c r="BO60" s="187"/>
      <c r="BP60" s="187"/>
      <c r="BQ60" s="187"/>
      <c r="CE60" s="187"/>
    </row>
    <row r="61" spans="1:83" s="1" customFormat="1" ht="20.25">
      <c r="A61" s="97"/>
      <c r="B61" s="186"/>
      <c r="C61" s="187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7"/>
      <c r="O61" s="187"/>
      <c r="P61" s="187"/>
      <c r="Q61" s="148"/>
      <c r="R61" s="187"/>
      <c r="S61" s="187"/>
      <c r="T61" s="187"/>
      <c r="V61" s="187"/>
      <c r="W61" s="187"/>
      <c r="X61" s="187"/>
      <c r="Y61" s="2"/>
      <c r="Z61" s="186"/>
      <c r="AA61" s="186"/>
      <c r="AB61" s="186"/>
      <c r="AC61" s="186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6"/>
      <c r="AU61" s="186"/>
      <c r="AV61" s="186"/>
      <c r="AW61" s="193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6"/>
      <c r="BL61" s="186"/>
      <c r="BM61" s="186"/>
      <c r="BN61" s="187"/>
      <c r="BO61" s="187"/>
      <c r="BP61" s="187"/>
      <c r="BQ61" s="187"/>
      <c r="CE61" s="187"/>
    </row>
    <row r="62" spans="1:83" s="1" customFormat="1" ht="20.25">
      <c r="A62" s="97"/>
      <c r="B62" s="186"/>
      <c r="C62" s="187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7"/>
      <c r="O62" s="187"/>
      <c r="P62" s="187"/>
      <c r="Q62" s="148"/>
      <c r="R62" s="187"/>
      <c r="S62" s="187"/>
      <c r="T62" s="187"/>
      <c r="V62" s="187"/>
      <c r="W62" s="187"/>
      <c r="X62" s="187"/>
      <c r="Y62" s="2"/>
      <c r="Z62" s="186"/>
      <c r="AA62" s="186"/>
      <c r="AB62" s="186"/>
      <c r="AC62" s="186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6"/>
      <c r="AU62" s="186"/>
      <c r="AV62" s="186"/>
      <c r="AW62" s="193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6"/>
      <c r="BL62" s="186"/>
      <c r="BM62" s="186"/>
      <c r="BN62" s="187"/>
      <c r="BO62" s="187"/>
      <c r="BP62" s="187"/>
      <c r="BQ62" s="187"/>
      <c r="CE62" s="187"/>
    </row>
  </sheetData>
  <sheetProtection/>
  <mergeCells count="79">
    <mergeCell ref="AV3:AW3"/>
    <mergeCell ref="CE3:CE4"/>
    <mergeCell ref="W3:W4"/>
    <mergeCell ref="X3:Y3"/>
    <mergeCell ref="AE3:AE4"/>
    <mergeCell ref="AF3:AG3"/>
    <mergeCell ref="Z3:Z4"/>
    <mergeCell ref="AD3:AD4"/>
    <mergeCell ref="R3:R4"/>
    <mergeCell ref="S3:S4"/>
    <mergeCell ref="T3:U3"/>
    <mergeCell ref="V3:V4"/>
    <mergeCell ref="A1:Q1"/>
    <mergeCell ref="AU3:AU4"/>
    <mergeCell ref="AN3:AO3"/>
    <mergeCell ref="AP3:AP4"/>
    <mergeCell ref="AQ3:AQ4"/>
    <mergeCell ref="AR3:AS3"/>
    <mergeCell ref="BN3:BN4"/>
    <mergeCell ref="BF3:BF4"/>
    <mergeCell ref="BG3:BG4"/>
    <mergeCell ref="BH3:BI3"/>
    <mergeCell ref="BJ3:BJ4"/>
    <mergeCell ref="AX3:AX4"/>
    <mergeCell ref="BD3:BE3"/>
    <mergeCell ref="BK3:BK4"/>
    <mergeCell ref="BL3:BM3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customWidth="1"/>
    <col min="18" max="18" width="9.75390625" style="0" customWidth="1"/>
    <col min="19" max="19" width="9.25390625" style="0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customWidth="1"/>
    <col min="31" max="31" width="9.25390625" style="0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customWidth="1"/>
    <col min="66" max="66" width="10.75390625" style="0" customWidth="1"/>
    <col min="67" max="67" width="9.25390625" style="0" customWidth="1"/>
    <col min="68" max="68" width="10.375" style="0" customWidth="1"/>
    <col min="69" max="69" width="10.00390625" style="0" customWidth="1"/>
    <col min="70" max="70" width="10.375" style="0" customWidth="1"/>
    <col min="71" max="71" width="9.25390625" style="0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154</v>
      </c>
    </row>
    <row r="2" spans="2:80" ht="18">
      <c r="B2" s="99"/>
      <c r="C2" s="100"/>
      <c r="D2" s="100" t="s">
        <v>156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240"/>
      <c r="W2" s="101"/>
      <c r="X2" s="101"/>
      <c r="Y2" s="101"/>
      <c r="Z2" s="100"/>
      <c r="AA2" s="100"/>
      <c r="AF2" s="100"/>
      <c r="AG2" s="100"/>
      <c r="AL2" s="100"/>
      <c r="AM2" s="100"/>
      <c r="AR2" s="100"/>
      <c r="AS2" s="100"/>
      <c r="AX2" s="100"/>
      <c r="AY2" s="100"/>
      <c r="BD2" s="100"/>
      <c r="BE2" s="100"/>
      <c r="BJ2" s="100"/>
      <c r="BK2" s="100"/>
      <c r="BP2" s="100"/>
      <c r="BQ2" s="100"/>
      <c r="BV2" s="100"/>
      <c r="BW2" s="100"/>
      <c r="CB2" s="100"/>
    </row>
    <row r="3" spans="4:80" ht="15.75">
      <c r="D3" s="457" t="s">
        <v>96</v>
      </c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103"/>
      <c r="S3" s="103"/>
      <c r="T3" s="103"/>
      <c r="U3" s="102"/>
      <c r="Z3" s="103"/>
      <c r="AA3" s="102"/>
      <c r="AD3" t="s">
        <v>83</v>
      </c>
      <c r="AF3" s="103"/>
      <c r="AG3" s="102"/>
      <c r="AL3" s="103"/>
      <c r="AM3" s="102"/>
      <c r="AR3" s="103"/>
      <c r="AS3" s="102"/>
      <c r="AX3" s="103"/>
      <c r="AY3" s="102"/>
      <c r="BD3" s="103"/>
      <c r="BE3" s="102"/>
      <c r="BJ3" s="103"/>
      <c r="BK3" s="102"/>
      <c r="BP3" s="103"/>
      <c r="BQ3" s="102"/>
      <c r="BV3" s="103"/>
      <c r="BW3" s="102"/>
      <c r="CB3" s="103"/>
    </row>
    <row r="4" spans="1:80" s="105" customFormat="1" ht="12.75" customHeight="1">
      <c r="A4" s="104" t="s">
        <v>157</v>
      </c>
      <c r="B4" s="104"/>
      <c r="F4" s="106"/>
      <c r="G4" s="106"/>
      <c r="H4" s="106"/>
      <c r="J4" s="106"/>
      <c r="L4" s="106"/>
      <c r="M4" s="106"/>
      <c r="N4" s="106"/>
      <c r="P4" s="106"/>
      <c r="R4" s="106"/>
      <c r="S4" s="106"/>
      <c r="T4" s="106"/>
      <c r="V4" s="106"/>
      <c r="X4" s="106"/>
      <c r="Y4" s="106"/>
      <c r="Z4" s="106"/>
      <c r="AB4" s="106"/>
      <c r="AD4" s="106"/>
      <c r="AE4" s="106"/>
      <c r="AF4" s="106"/>
      <c r="AH4" s="106"/>
      <c r="AJ4" s="106"/>
      <c r="AK4" s="106"/>
      <c r="AL4" s="106"/>
      <c r="AN4" s="106"/>
      <c r="AP4" s="106"/>
      <c r="AQ4" s="106"/>
      <c r="AR4" s="106"/>
      <c r="AT4" s="106"/>
      <c r="AV4" s="106"/>
      <c r="AW4" s="106"/>
      <c r="AX4" s="106"/>
      <c r="AZ4" s="106"/>
      <c r="BB4" s="106"/>
      <c r="BC4" s="106"/>
      <c r="BD4" s="106"/>
      <c r="BF4" s="107"/>
      <c r="BG4" s="107"/>
      <c r="BH4" s="107"/>
      <c r="BI4" s="107"/>
      <c r="BJ4" s="106"/>
      <c r="BL4" s="106"/>
      <c r="BN4" s="106"/>
      <c r="BO4" s="106"/>
      <c r="BP4" s="106"/>
      <c r="BR4" s="106"/>
      <c r="BT4" s="106"/>
      <c r="BU4" s="106"/>
      <c r="BV4" s="106"/>
      <c r="BX4" s="106"/>
      <c r="CB4" s="106"/>
    </row>
    <row r="5" spans="1:80" s="105" customFormat="1" ht="12.75" customHeight="1" thickBot="1">
      <c r="A5" s="108"/>
      <c r="B5" s="104"/>
      <c r="F5" s="106"/>
      <c r="G5" s="106"/>
      <c r="H5" s="106"/>
      <c r="J5" s="106"/>
      <c r="L5" s="106"/>
      <c r="M5" s="106"/>
      <c r="N5" s="106"/>
      <c r="P5" s="106"/>
      <c r="R5" s="106"/>
      <c r="S5" s="106"/>
      <c r="T5" s="106"/>
      <c r="V5" s="106"/>
      <c r="X5" s="106"/>
      <c r="Y5" s="106"/>
      <c r="Z5" s="106"/>
      <c r="AB5" s="106"/>
      <c r="AD5" s="106"/>
      <c r="AE5" s="106"/>
      <c r="AF5" s="106"/>
      <c r="AH5" s="106"/>
      <c r="AJ5" s="106"/>
      <c r="AK5" s="106"/>
      <c r="AL5" s="106"/>
      <c r="AN5" s="106"/>
      <c r="AP5" s="106"/>
      <c r="AQ5" s="106"/>
      <c r="AR5" s="106"/>
      <c r="AT5" s="106"/>
      <c r="AV5" s="106"/>
      <c r="AW5" s="106"/>
      <c r="AX5" s="106"/>
      <c r="AZ5" s="106"/>
      <c r="BB5" s="106"/>
      <c r="BC5" s="106"/>
      <c r="BD5" s="106"/>
      <c r="BF5" s="107"/>
      <c r="BG5" s="107"/>
      <c r="BH5" s="107"/>
      <c r="BI5" s="107"/>
      <c r="BJ5" s="106"/>
      <c r="BL5" s="106"/>
      <c r="BN5" s="106"/>
      <c r="BO5" s="106"/>
      <c r="BP5" s="106"/>
      <c r="BR5" s="106"/>
      <c r="BT5" s="106"/>
      <c r="BU5" s="106"/>
      <c r="BV5" s="106"/>
      <c r="BX5" s="106"/>
      <c r="CB5" s="106"/>
    </row>
    <row r="6" spans="1:80" s="111" customFormat="1" ht="15" customHeight="1" thickBot="1">
      <c r="A6" s="109" t="s">
        <v>0</v>
      </c>
      <c r="B6" s="110"/>
      <c r="C6" s="493" t="s">
        <v>47</v>
      </c>
      <c r="D6" s="494"/>
      <c r="E6" s="494"/>
      <c r="F6" s="494"/>
      <c r="G6" s="494"/>
      <c r="H6" s="495"/>
      <c r="I6" s="493" t="s">
        <v>48</v>
      </c>
      <c r="J6" s="494"/>
      <c r="K6" s="494"/>
      <c r="L6" s="494"/>
      <c r="M6" s="496"/>
      <c r="N6" s="239"/>
      <c r="O6" s="493" t="s">
        <v>49</v>
      </c>
      <c r="P6" s="494"/>
      <c r="Q6" s="494"/>
      <c r="R6" s="494"/>
      <c r="S6" s="496"/>
      <c r="T6" s="239"/>
      <c r="U6" s="493" t="s">
        <v>50</v>
      </c>
      <c r="V6" s="494"/>
      <c r="W6" s="494"/>
      <c r="X6" s="494"/>
      <c r="Y6" s="496"/>
      <c r="Z6" s="239"/>
      <c r="AA6" s="493" t="s">
        <v>51</v>
      </c>
      <c r="AB6" s="494"/>
      <c r="AC6" s="494"/>
      <c r="AD6" s="494"/>
      <c r="AE6" s="496"/>
      <c r="AF6" s="239"/>
      <c r="AG6" s="493" t="s">
        <v>52</v>
      </c>
      <c r="AH6" s="494"/>
      <c r="AI6" s="494"/>
      <c r="AJ6" s="494"/>
      <c r="AK6" s="496"/>
      <c r="AL6" s="239"/>
      <c r="AM6" s="493" t="s">
        <v>53</v>
      </c>
      <c r="AN6" s="494"/>
      <c r="AO6" s="494"/>
      <c r="AP6" s="494"/>
      <c r="AQ6" s="496"/>
      <c r="AR6" s="239"/>
      <c r="AS6" s="493" t="s">
        <v>54</v>
      </c>
      <c r="AT6" s="494"/>
      <c r="AU6" s="494"/>
      <c r="AV6" s="494"/>
      <c r="AW6" s="496"/>
      <c r="AX6" s="239"/>
      <c r="AY6" s="493" t="s">
        <v>55</v>
      </c>
      <c r="AZ6" s="494"/>
      <c r="BA6" s="494"/>
      <c r="BB6" s="494"/>
      <c r="BC6" s="496"/>
      <c r="BD6" s="239"/>
      <c r="BE6" s="493" t="s">
        <v>56</v>
      </c>
      <c r="BF6" s="494"/>
      <c r="BG6" s="494"/>
      <c r="BH6" s="494"/>
      <c r="BI6" s="496"/>
      <c r="BJ6" s="239"/>
      <c r="BK6" s="493" t="s">
        <v>57</v>
      </c>
      <c r="BL6" s="494"/>
      <c r="BM6" s="494"/>
      <c r="BN6" s="494"/>
      <c r="BO6" s="496"/>
      <c r="BP6" s="239"/>
      <c r="BQ6" s="493" t="s">
        <v>58</v>
      </c>
      <c r="BR6" s="494"/>
      <c r="BS6" s="494"/>
      <c r="BT6" s="494"/>
      <c r="BU6" s="496"/>
      <c r="BV6" s="239"/>
      <c r="BW6" s="458" t="s">
        <v>59</v>
      </c>
      <c r="BX6" s="459"/>
      <c r="BY6" s="459"/>
      <c r="BZ6" s="460"/>
      <c r="CA6" s="460"/>
      <c r="CB6" s="241"/>
    </row>
    <row r="7" spans="1:80" s="114" customFormat="1" ht="15" customHeight="1">
      <c r="A7" s="112"/>
      <c r="B7" s="113"/>
      <c r="C7" s="242" t="s">
        <v>102</v>
      </c>
      <c r="D7" s="452" t="s">
        <v>158</v>
      </c>
      <c r="E7" s="453"/>
      <c r="F7" s="455" t="s">
        <v>97</v>
      </c>
      <c r="G7" s="456"/>
      <c r="H7" s="243" t="s">
        <v>98</v>
      </c>
      <c r="I7" s="242" t="s">
        <v>102</v>
      </c>
      <c r="J7" s="452" t="s">
        <v>158</v>
      </c>
      <c r="K7" s="453"/>
      <c r="L7" s="455" t="s">
        <v>97</v>
      </c>
      <c r="M7" s="456"/>
      <c r="N7" s="243" t="s">
        <v>98</v>
      </c>
      <c r="O7" s="242" t="s">
        <v>102</v>
      </c>
      <c r="P7" s="452" t="s">
        <v>158</v>
      </c>
      <c r="Q7" s="453"/>
      <c r="R7" s="455" t="s">
        <v>97</v>
      </c>
      <c r="S7" s="456"/>
      <c r="T7" s="243" t="s">
        <v>98</v>
      </c>
      <c r="U7" s="242" t="s">
        <v>102</v>
      </c>
      <c r="V7" s="452" t="s">
        <v>158</v>
      </c>
      <c r="W7" s="453"/>
      <c r="X7" s="455" t="s">
        <v>97</v>
      </c>
      <c r="Y7" s="456"/>
      <c r="Z7" s="243" t="s">
        <v>98</v>
      </c>
      <c r="AA7" s="242" t="s">
        <v>102</v>
      </c>
      <c r="AB7" s="452" t="s">
        <v>158</v>
      </c>
      <c r="AC7" s="453"/>
      <c r="AD7" s="455" t="s">
        <v>97</v>
      </c>
      <c r="AE7" s="456"/>
      <c r="AF7" s="243" t="s">
        <v>98</v>
      </c>
      <c r="AG7" s="242" t="s">
        <v>102</v>
      </c>
      <c r="AH7" s="452" t="s">
        <v>158</v>
      </c>
      <c r="AI7" s="453"/>
      <c r="AJ7" s="455" t="s">
        <v>97</v>
      </c>
      <c r="AK7" s="456"/>
      <c r="AL7" s="243" t="s">
        <v>98</v>
      </c>
      <c r="AM7" s="242" t="s">
        <v>102</v>
      </c>
      <c r="AN7" s="452" t="s">
        <v>158</v>
      </c>
      <c r="AO7" s="453"/>
      <c r="AP7" s="455" t="s">
        <v>97</v>
      </c>
      <c r="AQ7" s="456"/>
      <c r="AR7" s="243" t="s">
        <v>98</v>
      </c>
      <c r="AS7" s="242" t="s">
        <v>102</v>
      </c>
      <c r="AT7" s="452" t="s">
        <v>158</v>
      </c>
      <c r="AU7" s="453"/>
      <c r="AV7" s="455" t="s">
        <v>97</v>
      </c>
      <c r="AW7" s="456"/>
      <c r="AX7" s="243" t="s">
        <v>98</v>
      </c>
      <c r="AY7" s="242" t="s">
        <v>102</v>
      </c>
      <c r="AZ7" s="452" t="s">
        <v>158</v>
      </c>
      <c r="BA7" s="453"/>
      <c r="BB7" s="455" t="s">
        <v>97</v>
      </c>
      <c r="BC7" s="456"/>
      <c r="BD7" s="243" t="s">
        <v>98</v>
      </c>
      <c r="BE7" s="242" t="s">
        <v>102</v>
      </c>
      <c r="BF7" s="452" t="s">
        <v>158</v>
      </c>
      <c r="BG7" s="453"/>
      <c r="BH7" s="455" t="s">
        <v>97</v>
      </c>
      <c r="BI7" s="456"/>
      <c r="BJ7" s="243" t="s">
        <v>98</v>
      </c>
      <c r="BK7" s="242" t="s">
        <v>102</v>
      </c>
      <c r="BL7" s="452" t="s">
        <v>158</v>
      </c>
      <c r="BM7" s="453"/>
      <c r="BN7" s="455" t="s">
        <v>97</v>
      </c>
      <c r="BO7" s="456"/>
      <c r="BP7" s="243" t="s">
        <v>98</v>
      </c>
      <c r="BQ7" s="242" t="s">
        <v>102</v>
      </c>
      <c r="BR7" s="452" t="s">
        <v>158</v>
      </c>
      <c r="BS7" s="453"/>
      <c r="BT7" s="455" t="s">
        <v>97</v>
      </c>
      <c r="BU7" s="456"/>
      <c r="BV7" s="243" t="s">
        <v>98</v>
      </c>
      <c r="BW7" s="242" t="s">
        <v>102</v>
      </c>
      <c r="BX7" s="452" t="s">
        <v>158</v>
      </c>
      <c r="BY7" s="453"/>
      <c r="BZ7" s="454" t="s">
        <v>97</v>
      </c>
      <c r="CA7" s="454"/>
      <c r="CB7" s="244" t="s">
        <v>98</v>
      </c>
    </row>
    <row r="8" spans="1:81" ht="25.5">
      <c r="A8" s="196"/>
      <c r="B8" s="197"/>
      <c r="C8" s="198" t="s">
        <v>16</v>
      </c>
      <c r="D8" s="115" t="s">
        <v>16</v>
      </c>
      <c r="E8" s="115" t="s">
        <v>17</v>
      </c>
      <c r="F8" s="199" t="s">
        <v>60</v>
      </c>
      <c r="G8" s="147" t="s">
        <v>20</v>
      </c>
      <c r="H8" s="245" t="s">
        <v>99</v>
      </c>
      <c r="I8" s="200" t="s">
        <v>16</v>
      </c>
      <c r="J8" s="115" t="s">
        <v>16</v>
      </c>
      <c r="K8" s="115" t="s">
        <v>17</v>
      </c>
      <c r="L8" s="199" t="s">
        <v>60</v>
      </c>
      <c r="M8" s="147" t="s">
        <v>20</v>
      </c>
      <c r="N8" s="245" t="s">
        <v>99</v>
      </c>
      <c r="O8" s="198" t="s">
        <v>16</v>
      </c>
      <c r="P8" s="115" t="s">
        <v>16</v>
      </c>
      <c r="Q8" s="115" t="s">
        <v>17</v>
      </c>
      <c r="R8" s="199" t="s">
        <v>60</v>
      </c>
      <c r="S8" s="147" t="s">
        <v>20</v>
      </c>
      <c r="T8" s="245" t="s">
        <v>99</v>
      </c>
      <c r="U8" s="198" t="s">
        <v>16</v>
      </c>
      <c r="V8" s="115" t="s">
        <v>16</v>
      </c>
      <c r="W8" s="115" t="s">
        <v>17</v>
      </c>
      <c r="X8" s="199" t="s">
        <v>60</v>
      </c>
      <c r="Y8" s="147" t="s">
        <v>20</v>
      </c>
      <c r="Z8" s="245" t="s">
        <v>99</v>
      </c>
      <c r="AA8" s="198" t="s">
        <v>16</v>
      </c>
      <c r="AB8" s="115" t="s">
        <v>16</v>
      </c>
      <c r="AC8" s="115" t="s">
        <v>17</v>
      </c>
      <c r="AD8" s="199" t="s">
        <v>60</v>
      </c>
      <c r="AE8" s="147" t="s">
        <v>20</v>
      </c>
      <c r="AF8" s="245" t="s">
        <v>99</v>
      </c>
      <c r="AG8" s="198" t="s">
        <v>16</v>
      </c>
      <c r="AH8" s="115" t="s">
        <v>16</v>
      </c>
      <c r="AI8" s="115" t="s">
        <v>17</v>
      </c>
      <c r="AJ8" s="199" t="s">
        <v>60</v>
      </c>
      <c r="AK8" s="147" t="s">
        <v>20</v>
      </c>
      <c r="AL8" s="245" t="s">
        <v>99</v>
      </c>
      <c r="AM8" s="198" t="s">
        <v>16</v>
      </c>
      <c r="AN8" s="115" t="s">
        <v>16</v>
      </c>
      <c r="AO8" s="115" t="s">
        <v>17</v>
      </c>
      <c r="AP8" s="199" t="s">
        <v>60</v>
      </c>
      <c r="AQ8" s="147" t="s">
        <v>20</v>
      </c>
      <c r="AR8" s="245" t="s">
        <v>99</v>
      </c>
      <c r="AS8" s="198" t="s">
        <v>16</v>
      </c>
      <c r="AT8" s="115" t="s">
        <v>16</v>
      </c>
      <c r="AU8" s="115" t="s">
        <v>17</v>
      </c>
      <c r="AV8" s="199" t="s">
        <v>60</v>
      </c>
      <c r="AW8" s="147" t="s">
        <v>20</v>
      </c>
      <c r="AX8" s="245" t="s">
        <v>99</v>
      </c>
      <c r="AY8" s="198" t="s">
        <v>16</v>
      </c>
      <c r="AZ8" s="115" t="s">
        <v>16</v>
      </c>
      <c r="BA8" s="115" t="s">
        <v>17</v>
      </c>
      <c r="BB8" s="199" t="s">
        <v>60</v>
      </c>
      <c r="BC8" s="147" t="s">
        <v>20</v>
      </c>
      <c r="BD8" s="245" t="s">
        <v>99</v>
      </c>
      <c r="BE8" s="198" t="s">
        <v>16</v>
      </c>
      <c r="BF8" s="115" t="s">
        <v>16</v>
      </c>
      <c r="BG8" s="115" t="s">
        <v>17</v>
      </c>
      <c r="BH8" s="199" t="s">
        <v>60</v>
      </c>
      <c r="BI8" s="147" t="s">
        <v>20</v>
      </c>
      <c r="BJ8" s="245" t="s">
        <v>99</v>
      </c>
      <c r="BK8" s="198" t="s">
        <v>16</v>
      </c>
      <c r="BL8" s="115" t="s">
        <v>16</v>
      </c>
      <c r="BM8" s="115" t="s">
        <v>17</v>
      </c>
      <c r="BN8" s="199" t="s">
        <v>60</v>
      </c>
      <c r="BO8" s="147" t="s">
        <v>20</v>
      </c>
      <c r="BP8" s="245" t="s">
        <v>99</v>
      </c>
      <c r="BQ8" s="198" t="s">
        <v>16</v>
      </c>
      <c r="BR8" s="115" t="s">
        <v>16</v>
      </c>
      <c r="BS8" s="115" t="s">
        <v>17</v>
      </c>
      <c r="BT8" s="199" t="s">
        <v>60</v>
      </c>
      <c r="BU8" s="147" t="s">
        <v>20</v>
      </c>
      <c r="BV8" s="245" t="s">
        <v>99</v>
      </c>
      <c r="BW8" s="198" t="s">
        <v>16</v>
      </c>
      <c r="BX8" s="115" t="s">
        <v>16</v>
      </c>
      <c r="BY8" s="115" t="s">
        <v>17</v>
      </c>
      <c r="BZ8" s="199" t="s">
        <v>60</v>
      </c>
      <c r="CA8" s="199" t="s">
        <v>20</v>
      </c>
      <c r="CB8" s="246" t="s">
        <v>99</v>
      </c>
      <c r="CC8" s="247"/>
    </row>
    <row r="9" spans="1:80" s="207" customFormat="1" ht="12.75">
      <c r="A9" s="201" t="s">
        <v>61</v>
      </c>
      <c r="B9" s="202"/>
      <c r="C9" s="203">
        <f>SUM(C10:C18)</f>
        <v>132060.3</v>
      </c>
      <c r="D9" s="204">
        <f>SUM(D10:D18)</f>
        <v>81162.9</v>
      </c>
      <c r="E9" s="205">
        <f>SUM(E10:E18)</f>
        <v>59281.2</v>
      </c>
      <c r="F9" s="204">
        <f>E9-D9</f>
        <v>-21881.699999999997</v>
      </c>
      <c r="G9" s="206">
        <f aca="true" t="shared" si="0" ref="G9:G34">E9/D9%</f>
        <v>73.0397755624799</v>
      </c>
      <c r="H9" s="248">
        <f aca="true" t="shared" si="1" ref="H9:H16">E9/C9%</f>
        <v>44.889493663122074</v>
      </c>
      <c r="I9" s="205">
        <f>SUM(I10:I18)</f>
        <v>4228.8</v>
      </c>
      <c r="J9" s="204">
        <f>SUM(J10:J18)</f>
        <v>2644.7</v>
      </c>
      <c r="K9" s="205">
        <f>SUM(K10:K18)</f>
        <v>1987.8</v>
      </c>
      <c r="L9" s="204">
        <f aca="true" t="shared" si="2" ref="L9:L33">K9-J9</f>
        <v>-656.8999999999999</v>
      </c>
      <c r="M9" s="206">
        <f aca="true" t="shared" si="3" ref="M9:M26">K9/J9%</f>
        <v>75.16164404280259</v>
      </c>
      <c r="N9" s="248">
        <f>K9/I9%</f>
        <v>47.00624290578887</v>
      </c>
      <c r="O9" s="203">
        <f>SUM(O10:O18)</f>
        <v>5763.8</v>
      </c>
      <c r="P9" s="204">
        <f>SUM(P10:P18)</f>
        <v>4416.2</v>
      </c>
      <c r="Q9" s="205">
        <f>SUM(Q10:Q18)</f>
        <v>4530.5</v>
      </c>
      <c r="R9" s="204">
        <f aca="true" t="shared" si="4" ref="R9:R33">Q9-P9</f>
        <v>114.30000000000018</v>
      </c>
      <c r="S9" s="206">
        <f aca="true" t="shared" si="5" ref="S9:S17">Q9/P9%</f>
        <v>102.58819799827907</v>
      </c>
      <c r="T9" s="248">
        <f>Q9/O9%</f>
        <v>78.6026579687012</v>
      </c>
      <c r="U9" s="203">
        <f>SUM(U10:U18)</f>
        <v>9043.9</v>
      </c>
      <c r="V9" s="204">
        <f>SUM(V10:V18)</f>
        <v>5113.9</v>
      </c>
      <c r="W9" s="205">
        <f>SUM(W10:W18)</f>
        <v>4247.999999999999</v>
      </c>
      <c r="X9" s="204">
        <f aca="true" t="shared" si="6" ref="X9:X33">W9-V9</f>
        <v>-865.9000000000005</v>
      </c>
      <c r="Y9" s="206">
        <f aca="true" t="shared" si="7" ref="Y9:Y22">W9/V9%</f>
        <v>83.06771739768082</v>
      </c>
      <c r="Z9" s="248">
        <f>W9/U9%</f>
        <v>46.97088645385287</v>
      </c>
      <c r="AA9" s="203">
        <f>SUM(AA10:AA18)</f>
        <v>5765.2</v>
      </c>
      <c r="AB9" s="204">
        <f>SUM(AB10:AB18)</f>
        <v>3039.1000000000004</v>
      </c>
      <c r="AC9" s="204">
        <f>SUM(AC10:AC18)</f>
        <v>2125.7</v>
      </c>
      <c r="AD9" s="204">
        <f aca="true" t="shared" si="8" ref="AD9:AD33">AC9-AB9</f>
        <v>-913.4000000000005</v>
      </c>
      <c r="AE9" s="206">
        <f aca="true" t="shared" si="9" ref="AE9:AE19">AC9/AB9%</f>
        <v>69.94504952123982</v>
      </c>
      <c r="AF9" s="248">
        <f>AC9/AA9%</f>
        <v>36.87122736418511</v>
      </c>
      <c r="AG9" s="203">
        <f>SUM(AG10:AG18)</f>
        <v>3993.3</v>
      </c>
      <c r="AH9" s="204">
        <f>SUM(AH10:AH18)</f>
        <v>2156</v>
      </c>
      <c r="AI9" s="205">
        <f>SUM(AI10:AI18)</f>
        <v>1731.8999999999999</v>
      </c>
      <c r="AJ9" s="204">
        <f aca="true" t="shared" si="10" ref="AJ9:AJ33">AI9-AH9</f>
        <v>-424.10000000000014</v>
      </c>
      <c r="AK9" s="206">
        <f aca="true" t="shared" si="11" ref="AK9:AK17">AI9/AH9%</f>
        <v>80.32931354359926</v>
      </c>
      <c r="AL9" s="248">
        <f>AI9/AG9%</f>
        <v>43.37014499286304</v>
      </c>
      <c r="AM9" s="203">
        <f>SUM(AM10:AM18)</f>
        <v>5238.599999999999</v>
      </c>
      <c r="AN9" s="204">
        <f>SUM(AN10:AN18)</f>
        <v>2575.5</v>
      </c>
      <c r="AO9" s="205">
        <f>SUM(AO10:AO18)</f>
        <v>1603.1</v>
      </c>
      <c r="AP9" s="204">
        <f aca="true" t="shared" si="12" ref="AP9:AP33">AO9-AN9</f>
        <v>-972.4000000000001</v>
      </c>
      <c r="AQ9" s="206">
        <f aca="true" t="shared" si="13" ref="AQ9:AQ17">AO9/AN9%</f>
        <v>62.244224422442244</v>
      </c>
      <c r="AR9" s="248">
        <f>AO9/AM9%</f>
        <v>30.60168747375253</v>
      </c>
      <c r="AS9" s="203">
        <f>SUM(AS10:AS18)</f>
        <v>4900.3</v>
      </c>
      <c r="AT9" s="204">
        <f>SUM(AT10:AT18)</f>
        <v>3394.3</v>
      </c>
      <c r="AU9" s="205">
        <f>SUM(AU10:AU18)</f>
        <v>7824.1</v>
      </c>
      <c r="AV9" s="204">
        <f aca="true" t="shared" si="14" ref="AV9:AV33">AU9-AT9</f>
        <v>4429.8</v>
      </c>
      <c r="AW9" s="206">
        <f aca="true" t="shared" si="15" ref="AW9:AW17">AU9/AT9%</f>
        <v>230.50702648557873</v>
      </c>
      <c r="AX9" s="248">
        <f>AU9/AS9%</f>
        <v>159.66573475093364</v>
      </c>
      <c r="AY9" s="203">
        <f>SUM(AY10:AY18)</f>
        <v>8131.6</v>
      </c>
      <c r="AZ9" s="204">
        <f>SUM(AZ10:AZ18)</f>
        <v>4603.9000000000015</v>
      </c>
      <c r="BA9" s="205">
        <f>SUM(BA10:BA18)</f>
        <v>5040.2</v>
      </c>
      <c r="BB9" s="204">
        <f aca="true" t="shared" si="16" ref="BB9:BB32">BA9-AZ9</f>
        <v>436.29999999999836</v>
      </c>
      <c r="BC9" s="206">
        <f>BA9/AZ9%</f>
        <v>109.47674797454329</v>
      </c>
      <c r="BD9" s="248">
        <f>BA9/AY9%</f>
        <v>61.982881597717544</v>
      </c>
      <c r="BE9" s="203">
        <f>SUM(BE10:BE18)</f>
        <v>2013.4</v>
      </c>
      <c r="BF9" s="204">
        <f>SUM(BF10:BF18)</f>
        <v>576.8000000000001</v>
      </c>
      <c r="BG9" s="204">
        <f>SUM(BG10:BG18)</f>
        <v>508.5</v>
      </c>
      <c r="BH9" s="204">
        <f aca="true" t="shared" si="17" ref="BH9:BH32">BG9-BF9</f>
        <v>-68.30000000000007</v>
      </c>
      <c r="BI9" s="206">
        <f aca="true" t="shared" si="18" ref="BI9:BI17">BG9/BF9%</f>
        <v>88.15880721220526</v>
      </c>
      <c r="BJ9" s="248">
        <f>BG9/BE9%</f>
        <v>25.255786232243963</v>
      </c>
      <c r="BK9" s="203">
        <f>SUM(BK10:BK18)</f>
        <v>3843.9</v>
      </c>
      <c r="BL9" s="204">
        <f>SUM(BL10:BL18)</f>
        <v>2471.8</v>
      </c>
      <c r="BM9" s="205">
        <f>SUM(BM10:BM18)</f>
        <v>1780.2</v>
      </c>
      <c r="BN9" s="204">
        <f aca="true" t="shared" si="19" ref="BN9:BN32">BM9-BL9</f>
        <v>-691.6000000000001</v>
      </c>
      <c r="BO9" s="206">
        <f aca="true" t="shared" si="20" ref="BO9:BO17">BM9/BL9%</f>
        <v>72.02038999919087</v>
      </c>
      <c r="BP9" s="248">
        <f>BM9/BK9%</f>
        <v>46.31233903067198</v>
      </c>
      <c r="BQ9" s="203">
        <f>SUM(BQ10:BQ18)</f>
        <v>14769.099999999999</v>
      </c>
      <c r="BR9" s="204">
        <f>SUM(BR10:BR18)</f>
        <v>9172.8</v>
      </c>
      <c r="BS9" s="205">
        <f>SUM(BS10:BS18)</f>
        <v>7015.6</v>
      </c>
      <c r="BT9" s="204">
        <f>BS9-BR9</f>
        <v>-2157.199999999999</v>
      </c>
      <c r="BU9" s="206">
        <f aca="true" t="shared" si="21" ref="BU9:BU17">BS9/BR9%</f>
        <v>76.4826443397872</v>
      </c>
      <c r="BV9" s="248">
        <f>BS9/BQ9%</f>
        <v>47.501878922886306</v>
      </c>
      <c r="BW9" s="203">
        <f>C9+I9+O9+U9+AA9+AG9+AM9+AS9+AY9+BE9+BK9+BQ9</f>
        <v>199752.19999999995</v>
      </c>
      <c r="BX9" s="204">
        <f>D9+J9+P9+V9+AB9+AH9+AN9+AT9+AZ9+BF9+BL9+BR9</f>
        <v>121327.90000000001</v>
      </c>
      <c r="BY9" s="204">
        <f>E9+K9+Q9+W9+AC9+AI9+AO9+AU9+BA9+BG9+BM9+BS9</f>
        <v>97676.8</v>
      </c>
      <c r="BZ9" s="204">
        <f>BY9-BX9</f>
        <v>-23651.100000000006</v>
      </c>
      <c r="CA9" s="204">
        <f>BY9/BX9%</f>
        <v>80.50646223992997</v>
      </c>
      <c r="CB9" s="249">
        <f>BY9/BW9%</f>
        <v>48.89898584346006</v>
      </c>
    </row>
    <row r="10" spans="1:81" ht="12.75">
      <c r="A10" s="116" t="s">
        <v>62</v>
      </c>
      <c r="B10" s="117"/>
      <c r="C10" s="208">
        <v>62155.6</v>
      </c>
      <c r="D10" s="118">
        <v>41128.2</v>
      </c>
      <c r="E10" s="209">
        <v>31472.6</v>
      </c>
      <c r="F10" s="210">
        <f aca="true" t="shared" si="22" ref="F10:F32">E10-D10</f>
        <v>-9655.599999999999</v>
      </c>
      <c r="G10" s="288">
        <f t="shared" si="0"/>
        <v>76.523164155008</v>
      </c>
      <c r="H10" s="250">
        <f t="shared" si="1"/>
        <v>50.63518009640322</v>
      </c>
      <c r="I10" s="211">
        <v>776</v>
      </c>
      <c r="J10" s="118">
        <v>566</v>
      </c>
      <c r="K10" s="209">
        <v>396.2</v>
      </c>
      <c r="L10" s="210">
        <f t="shared" si="2"/>
        <v>-169.8</v>
      </c>
      <c r="M10" s="251">
        <f t="shared" si="3"/>
        <v>70</v>
      </c>
      <c r="N10" s="250">
        <f>K10/I10%</f>
        <v>51.05670103092783</v>
      </c>
      <c r="O10" s="208">
        <v>1747.4</v>
      </c>
      <c r="P10" s="118">
        <v>1122.3</v>
      </c>
      <c r="Q10" s="209">
        <v>882.3</v>
      </c>
      <c r="R10" s="210">
        <f t="shared" si="4"/>
        <v>-240</v>
      </c>
      <c r="S10" s="251">
        <f>Q10/P10%</f>
        <v>78.61534349104518</v>
      </c>
      <c r="T10" s="250">
        <f>Q10/O10%</f>
        <v>50.49215978024493</v>
      </c>
      <c r="U10" s="208">
        <v>5395.8</v>
      </c>
      <c r="V10" s="118">
        <v>4123.9</v>
      </c>
      <c r="W10" s="209">
        <v>3354.2</v>
      </c>
      <c r="X10" s="210">
        <f t="shared" si="6"/>
        <v>-769.6999999999998</v>
      </c>
      <c r="Y10" s="251">
        <f t="shared" si="7"/>
        <v>81.33562889497806</v>
      </c>
      <c r="Z10" s="250">
        <f>W10/U10%</f>
        <v>62.16316394232551</v>
      </c>
      <c r="AA10" s="208">
        <v>1138.1</v>
      </c>
      <c r="AB10" s="118">
        <v>876.4</v>
      </c>
      <c r="AC10" s="209">
        <v>488.2</v>
      </c>
      <c r="AD10" s="210">
        <f t="shared" si="8"/>
        <v>-388.2</v>
      </c>
      <c r="AE10" s="251">
        <f t="shared" si="9"/>
        <v>55.705157462345966</v>
      </c>
      <c r="AF10" s="250">
        <f>AC10/AA10%</f>
        <v>42.89605482822248</v>
      </c>
      <c r="AG10" s="208">
        <v>1154</v>
      </c>
      <c r="AH10" s="118">
        <v>811</v>
      </c>
      <c r="AI10" s="209">
        <v>829.5</v>
      </c>
      <c r="AJ10" s="210">
        <f t="shared" si="10"/>
        <v>18.5</v>
      </c>
      <c r="AK10" s="251">
        <f t="shared" si="11"/>
        <v>102.28113440197288</v>
      </c>
      <c r="AL10" s="250">
        <f>AI10/AG10%</f>
        <v>71.88041594454073</v>
      </c>
      <c r="AM10" s="208">
        <v>654.9</v>
      </c>
      <c r="AN10" s="118">
        <v>348</v>
      </c>
      <c r="AO10" s="209">
        <v>285.6</v>
      </c>
      <c r="AP10" s="210">
        <f t="shared" si="12"/>
        <v>-62.39999999999998</v>
      </c>
      <c r="AQ10" s="251">
        <f t="shared" si="13"/>
        <v>82.06896551724138</v>
      </c>
      <c r="AR10" s="250">
        <f>AO10/AM10%</f>
        <v>43.60971140632158</v>
      </c>
      <c r="AS10" s="208">
        <v>744.9</v>
      </c>
      <c r="AT10" s="118">
        <v>564.3</v>
      </c>
      <c r="AU10" s="209">
        <v>424.8</v>
      </c>
      <c r="AV10" s="210">
        <f t="shared" si="14"/>
        <v>-139.49999999999994</v>
      </c>
      <c r="AW10" s="251">
        <f t="shared" si="15"/>
        <v>75.27910685805423</v>
      </c>
      <c r="AX10" s="250">
        <f>AU10/AS10%</f>
        <v>57.02778896496174</v>
      </c>
      <c r="AY10" s="208">
        <v>1573.5</v>
      </c>
      <c r="AZ10" s="118">
        <v>1385.9</v>
      </c>
      <c r="BA10" s="209">
        <v>1066.3</v>
      </c>
      <c r="BB10" s="210">
        <f t="shared" si="16"/>
        <v>-319.60000000000014</v>
      </c>
      <c r="BC10" s="251">
        <f>BA10/AZ10%</f>
        <v>76.93917310051229</v>
      </c>
      <c r="BD10" s="250">
        <f>BA10/AY10%</f>
        <v>67.76612646965364</v>
      </c>
      <c r="BE10" s="208">
        <v>464.5</v>
      </c>
      <c r="BF10" s="118">
        <v>384.6</v>
      </c>
      <c r="BG10" s="209">
        <v>300.6</v>
      </c>
      <c r="BH10" s="210">
        <f t="shared" si="17"/>
        <v>-84</v>
      </c>
      <c r="BI10" s="251">
        <f t="shared" si="18"/>
        <v>78.1591263650546</v>
      </c>
      <c r="BJ10" s="250">
        <f>BG10/BE10%</f>
        <v>64.71474703982778</v>
      </c>
      <c r="BK10" s="208">
        <v>1210</v>
      </c>
      <c r="BL10" s="118">
        <v>845</v>
      </c>
      <c r="BM10" s="209">
        <v>632.2</v>
      </c>
      <c r="BN10" s="210">
        <f t="shared" si="19"/>
        <v>-212.79999999999995</v>
      </c>
      <c r="BO10" s="251">
        <f t="shared" si="20"/>
        <v>74.81656804733728</v>
      </c>
      <c r="BP10" s="250">
        <f>BM10/BK10%</f>
        <v>52.247933884297524</v>
      </c>
      <c r="BQ10" s="208">
        <v>3411.3</v>
      </c>
      <c r="BR10" s="118">
        <v>2269.4</v>
      </c>
      <c r="BS10" s="209">
        <v>1873.4</v>
      </c>
      <c r="BT10" s="210">
        <f>BS10-BR10</f>
        <v>-396</v>
      </c>
      <c r="BU10" s="251">
        <f t="shared" si="21"/>
        <v>82.55045386445757</v>
      </c>
      <c r="BV10" s="250">
        <f>BS10/BQ10%</f>
        <v>54.91748013953625</v>
      </c>
      <c r="BW10" s="212">
        <f aca="true" t="shared" si="23" ref="BW10:BY17">C10+I10+O10+U10+AA10+AG10+AM10+AS10+AY10+BE10+BK10+BQ10</f>
        <v>80426</v>
      </c>
      <c r="BX10" s="144">
        <f t="shared" si="23"/>
        <v>54425.00000000001</v>
      </c>
      <c r="BY10" s="144">
        <f>E10+K10+Q10+W10+AC10+AI10+AO10+AU10+BA10+BG10+BM10+BS10</f>
        <v>42005.899999999994</v>
      </c>
      <c r="BZ10" s="210">
        <f>BY10-BX10</f>
        <v>-12419.100000000013</v>
      </c>
      <c r="CA10" s="210">
        <f>BY10/BX10%</f>
        <v>77.18125861276984</v>
      </c>
      <c r="CB10" s="252">
        <f>BY10/BW10%</f>
        <v>52.229254221271724</v>
      </c>
      <c r="CC10" s="253"/>
    </row>
    <row r="11" spans="1:81" ht="12.75">
      <c r="A11" s="116" t="s">
        <v>63</v>
      </c>
      <c r="B11" s="117"/>
      <c r="C11" s="208">
        <v>2742.7</v>
      </c>
      <c r="D11" s="118">
        <v>1928.4</v>
      </c>
      <c r="E11" s="209">
        <v>1324.3</v>
      </c>
      <c r="F11" s="210">
        <f t="shared" si="22"/>
        <v>-604.1000000000001</v>
      </c>
      <c r="G11" s="288">
        <f t="shared" si="0"/>
        <v>68.67351171956025</v>
      </c>
      <c r="H11" s="250">
        <f t="shared" si="1"/>
        <v>48.284537134940024</v>
      </c>
      <c r="I11" s="211"/>
      <c r="J11" s="118"/>
      <c r="K11" s="209"/>
      <c r="L11" s="210">
        <f t="shared" si="2"/>
        <v>0</v>
      </c>
      <c r="M11" s="251"/>
      <c r="N11" s="250"/>
      <c r="O11" s="208">
        <v>0</v>
      </c>
      <c r="P11" s="118"/>
      <c r="Q11" s="209"/>
      <c r="R11" s="210">
        <f t="shared" si="4"/>
        <v>0</v>
      </c>
      <c r="S11" s="251"/>
      <c r="T11" s="250"/>
      <c r="U11" s="208"/>
      <c r="V11" s="118"/>
      <c r="W11" s="209"/>
      <c r="X11" s="210"/>
      <c r="Y11" s="251"/>
      <c r="Z11" s="250"/>
      <c r="AA11" s="208"/>
      <c r="AB11" s="118"/>
      <c r="AC11" s="209"/>
      <c r="AD11" s="210"/>
      <c r="AE11" s="251"/>
      <c r="AF11" s="250"/>
      <c r="AG11" s="208"/>
      <c r="AH11" s="118"/>
      <c r="AI11" s="209"/>
      <c r="AJ11" s="210">
        <f t="shared" si="10"/>
        <v>0</v>
      </c>
      <c r="AK11" s="251"/>
      <c r="AL11" s="250"/>
      <c r="AM11" s="208"/>
      <c r="AN11" s="118"/>
      <c r="AO11" s="209"/>
      <c r="AP11" s="210"/>
      <c r="AQ11" s="251"/>
      <c r="AR11" s="250"/>
      <c r="AS11" s="208"/>
      <c r="AT11" s="118"/>
      <c r="AU11" s="209"/>
      <c r="AV11" s="210">
        <f t="shared" si="14"/>
        <v>0</v>
      </c>
      <c r="AW11" s="251"/>
      <c r="AX11" s="250"/>
      <c r="AY11" s="208"/>
      <c r="AZ11" s="118"/>
      <c r="BA11" s="209"/>
      <c r="BB11" s="210">
        <f t="shared" si="16"/>
        <v>0</v>
      </c>
      <c r="BC11" s="251"/>
      <c r="BD11" s="250"/>
      <c r="BE11" s="208"/>
      <c r="BF11" s="118"/>
      <c r="BG11" s="209"/>
      <c r="BH11" s="210"/>
      <c r="BI11" s="251"/>
      <c r="BJ11" s="250"/>
      <c r="BK11" s="208"/>
      <c r="BL11" s="118"/>
      <c r="BM11" s="209"/>
      <c r="BN11" s="210"/>
      <c r="BO11" s="251"/>
      <c r="BP11" s="250"/>
      <c r="BQ11" s="208">
        <v>1017</v>
      </c>
      <c r="BR11" s="118">
        <v>728.4</v>
      </c>
      <c r="BS11" s="209">
        <v>491</v>
      </c>
      <c r="BT11" s="210">
        <f>BS11-BR11</f>
        <v>-237.39999999999998</v>
      </c>
      <c r="BU11" s="251">
        <f t="shared" si="21"/>
        <v>67.40801757276222</v>
      </c>
      <c r="BV11" s="250">
        <f>BS11/BQ11%</f>
        <v>48.279252704031464</v>
      </c>
      <c r="BW11" s="212">
        <f t="shared" si="23"/>
        <v>3759.7</v>
      </c>
      <c r="BX11" s="144">
        <f t="shared" si="23"/>
        <v>2656.8</v>
      </c>
      <c r="BY11" s="144">
        <f t="shared" si="23"/>
        <v>1815.3</v>
      </c>
      <c r="BZ11" s="210">
        <f>BY11-BX11</f>
        <v>-841.5000000000002</v>
      </c>
      <c r="CA11" s="210">
        <f>BY11/BX11%</f>
        <v>68.32655826558265</v>
      </c>
      <c r="CB11" s="252">
        <f>BY11/BW11%</f>
        <v>48.283107694762876</v>
      </c>
      <c r="CC11" s="253"/>
    </row>
    <row r="12" spans="1:81" ht="24.75" customHeight="1" hidden="1">
      <c r="A12" s="119" t="s">
        <v>24</v>
      </c>
      <c r="B12" s="117"/>
      <c r="C12" s="208"/>
      <c r="D12" s="118"/>
      <c r="E12" s="209"/>
      <c r="F12" s="210">
        <f t="shared" si="22"/>
        <v>0</v>
      </c>
      <c r="G12" s="288" t="e">
        <f t="shared" si="0"/>
        <v>#DIV/0!</v>
      </c>
      <c r="H12" s="250" t="e">
        <f t="shared" si="1"/>
        <v>#DIV/0!</v>
      </c>
      <c r="I12" s="211"/>
      <c r="J12" s="118"/>
      <c r="K12" s="209"/>
      <c r="L12" s="210">
        <f t="shared" si="2"/>
        <v>0</v>
      </c>
      <c r="M12" s="251" t="e">
        <f t="shared" si="3"/>
        <v>#DIV/0!</v>
      </c>
      <c r="N12" s="250" t="e">
        <f aca="true" t="shared" si="24" ref="N12:N34">K12/I12%</f>
        <v>#DIV/0!</v>
      </c>
      <c r="O12" s="208"/>
      <c r="P12" s="118"/>
      <c r="Q12" s="209"/>
      <c r="R12" s="210">
        <f t="shared" si="4"/>
        <v>0</v>
      </c>
      <c r="S12" s="251" t="e">
        <f t="shared" si="5"/>
        <v>#DIV/0!</v>
      </c>
      <c r="T12" s="250" t="e">
        <f aca="true" t="shared" si="25" ref="T12:T34">Q12/O12%</f>
        <v>#DIV/0!</v>
      </c>
      <c r="U12" s="208"/>
      <c r="V12" s="118"/>
      <c r="W12" s="209"/>
      <c r="X12" s="210">
        <f t="shared" si="6"/>
        <v>0</v>
      </c>
      <c r="Y12" s="251" t="e">
        <f t="shared" si="7"/>
        <v>#DIV/0!</v>
      </c>
      <c r="Z12" s="250" t="e">
        <f>W12/U12%</f>
        <v>#DIV/0!</v>
      </c>
      <c r="AA12" s="208"/>
      <c r="AB12" s="118"/>
      <c r="AC12" s="209"/>
      <c r="AD12" s="210">
        <f t="shared" si="8"/>
        <v>0</v>
      </c>
      <c r="AE12" s="251"/>
      <c r="AF12" s="250" t="e">
        <f>AC12/AA12%</f>
        <v>#DIV/0!</v>
      </c>
      <c r="AG12" s="208"/>
      <c r="AH12" s="118"/>
      <c r="AI12" s="209"/>
      <c r="AJ12" s="210">
        <f t="shared" si="10"/>
        <v>0</v>
      </c>
      <c r="AK12" s="251" t="e">
        <f t="shared" si="11"/>
        <v>#DIV/0!</v>
      </c>
      <c r="AL12" s="250" t="e">
        <f aca="true" t="shared" si="26" ref="AL12:AL34">AI12/AG12%</f>
        <v>#DIV/0!</v>
      </c>
      <c r="AM12" s="208"/>
      <c r="AN12" s="118"/>
      <c r="AO12" s="209"/>
      <c r="AP12" s="210">
        <f t="shared" si="12"/>
        <v>0</v>
      </c>
      <c r="AQ12" s="251" t="e">
        <f t="shared" si="13"/>
        <v>#DIV/0!</v>
      </c>
      <c r="AR12" s="250" t="e">
        <f aca="true" t="shared" si="27" ref="AR12:AR34">AO12/AM12%</f>
        <v>#DIV/0!</v>
      </c>
      <c r="AS12" s="208"/>
      <c r="AT12" s="118"/>
      <c r="AU12" s="209"/>
      <c r="AV12" s="210">
        <f t="shared" si="14"/>
        <v>0</v>
      </c>
      <c r="AW12" s="251" t="e">
        <f t="shared" si="15"/>
        <v>#DIV/0!</v>
      </c>
      <c r="AX12" s="250" t="e">
        <f aca="true" t="shared" si="28" ref="AX12:AX34">AU12/AS12%</f>
        <v>#DIV/0!</v>
      </c>
      <c r="AY12" s="208"/>
      <c r="AZ12" s="118"/>
      <c r="BA12" s="209"/>
      <c r="BB12" s="210">
        <f t="shared" si="16"/>
        <v>0</v>
      </c>
      <c r="BC12" s="251" t="e">
        <f>BA12/AZ12%</f>
        <v>#DIV/0!</v>
      </c>
      <c r="BD12" s="250" t="e">
        <f aca="true" t="shared" si="29" ref="BD12:BD34">BA12/AY12%</f>
        <v>#DIV/0!</v>
      </c>
      <c r="BE12" s="208"/>
      <c r="BF12" s="118"/>
      <c r="BG12" s="209"/>
      <c r="BH12" s="210">
        <f t="shared" si="17"/>
        <v>0</v>
      </c>
      <c r="BI12" s="251"/>
      <c r="BJ12" s="250" t="e">
        <f aca="true" t="shared" si="30" ref="BJ12:BJ34">BG12/BE12%</f>
        <v>#DIV/0!</v>
      </c>
      <c r="BK12" s="208"/>
      <c r="BL12" s="118"/>
      <c r="BM12" s="209"/>
      <c r="BN12" s="210">
        <f t="shared" si="19"/>
        <v>0</v>
      </c>
      <c r="BO12" s="251" t="e">
        <f t="shared" si="20"/>
        <v>#DIV/0!</v>
      </c>
      <c r="BP12" s="250" t="e">
        <f aca="true" t="shared" si="31" ref="BP12:BP34">BM12/BK12%</f>
        <v>#DIV/0!</v>
      </c>
      <c r="BQ12" s="208"/>
      <c r="BR12" s="118"/>
      <c r="BS12" s="209"/>
      <c r="BT12" s="210">
        <f aca="true" t="shared" si="32" ref="BT12:BT27">BS12-BR12</f>
        <v>0</v>
      </c>
      <c r="BU12" s="251" t="e">
        <f>BS12/BR12%</f>
        <v>#DIV/0!</v>
      </c>
      <c r="BV12" s="250" t="e">
        <f aca="true" t="shared" si="33" ref="BV12:BV34">BS12/BQ12%</f>
        <v>#DIV/0!</v>
      </c>
      <c r="BW12" s="212">
        <f t="shared" si="23"/>
        <v>0</v>
      </c>
      <c r="BX12" s="144">
        <f t="shared" si="23"/>
        <v>0</v>
      </c>
      <c r="BY12" s="144">
        <f t="shared" si="23"/>
        <v>0</v>
      </c>
      <c r="BZ12" s="210">
        <f aca="true" t="shared" si="34" ref="BZ12:BZ27">BY12-BX12</f>
        <v>0</v>
      </c>
      <c r="CA12" s="210" t="e">
        <f aca="true" t="shared" si="35" ref="CA12:CA27">BY12/BX12%</f>
        <v>#DIV/0!</v>
      </c>
      <c r="CB12" s="252" t="e">
        <f aca="true" t="shared" si="36" ref="CB12:CB34">BY12/BW12%</f>
        <v>#DIV/0!</v>
      </c>
      <c r="CC12" s="253"/>
    </row>
    <row r="13" spans="1:81" ht="12.75">
      <c r="A13" s="116" t="s">
        <v>26</v>
      </c>
      <c r="B13" s="120"/>
      <c r="C13" s="213">
        <v>15</v>
      </c>
      <c r="D13" s="254">
        <v>15</v>
      </c>
      <c r="E13" s="214">
        <v>203.8</v>
      </c>
      <c r="F13" s="210">
        <f t="shared" si="22"/>
        <v>188.8</v>
      </c>
      <c r="G13" s="288"/>
      <c r="H13" s="250">
        <f>E13/C13%</f>
        <v>1358.6666666666667</v>
      </c>
      <c r="I13" s="215">
        <v>85</v>
      </c>
      <c r="J13" s="254">
        <v>65</v>
      </c>
      <c r="K13" s="214">
        <v>87.3</v>
      </c>
      <c r="L13" s="210">
        <f t="shared" si="2"/>
        <v>22.299999999999997</v>
      </c>
      <c r="M13" s="251">
        <f t="shared" si="3"/>
        <v>134.3076923076923</v>
      </c>
      <c r="N13" s="250">
        <f t="shared" si="24"/>
        <v>102.70588235294117</v>
      </c>
      <c r="O13" s="213">
        <v>4.5</v>
      </c>
      <c r="P13" s="254">
        <v>4.5</v>
      </c>
      <c r="Q13" s="214">
        <v>7.7</v>
      </c>
      <c r="R13" s="210">
        <f t="shared" si="4"/>
        <v>3.2</v>
      </c>
      <c r="S13" s="251"/>
      <c r="T13" s="250"/>
      <c r="U13" s="213">
        <v>83.9</v>
      </c>
      <c r="V13" s="254">
        <v>55</v>
      </c>
      <c r="W13" s="214">
        <v>4.1</v>
      </c>
      <c r="X13" s="210">
        <f t="shared" si="6"/>
        <v>-50.9</v>
      </c>
      <c r="Y13" s="251">
        <f t="shared" si="7"/>
        <v>7.454545454545453</v>
      </c>
      <c r="Z13" s="250">
        <f>W13/U13%</f>
        <v>4.886769964243146</v>
      </c>
      <c r="AA13" s="213">
        <v>286.9</v>
      </c>
      <c r="AB13" s="254">
        <v>208.9</v>
      </c>
      <c r="AC13" s="214">
        <v>435.1</v>
      </c>
      <c r="AD13" s="210">
        <f t="shared" si="8"/>
        <v>226.20000000000002</v>
      </c>
      <c r="AE13" s="251"/>
      <c r="AF13" s="250">
        <f>AC13/AA13%</f>
        <v>151.65562913907286</v>
      </c>
      <c r="AG13" s="213">
        <v>200</v>
      </c>
      <c r="AH13" s="254">
        <v>110</v>
      </c>
      <c r="AI13" s="214">
        <v>76.5</v>
      </c>
      <c r="AJ13" s="210">
        <f t="shared" si="10"/>
        <v>-33.5</v>
      </c>
      <c r="AK13" s="251"/>
      <c r="AL13" s="250">
        <f t="shared" si="26"/>
        <v>38.25</v>
      </c>
      <c r="AM13" s="213">
        <v>591</v>
      </c>
      <c r="AN13" s="254">
        <v>81.7</v>
      </c>
      <c r="AO13" s="214">
        <v>81.6</v>
      </c>
      <c r="AP13" s="210">
        <f t="shared" si="12"/>
        <v>-0.10000000000000853</v>
      </c>
      <c r="AQ13" s="251">
        <f t="shared" si="13"/>
        <v>99.87760097919215</v>
      </c>
      <c r="AR13" s="250">
        <f t="shared" si="27"/>
        <v>13.80710659898477</v>
      </c>
      <c r="AS13" s="213">
        <v>366.2</v>
      </c>
      <c r="AT13" s="254">
        <v>366.2</v>
      </c>
      <c r="AU13" s="214">
        <v>141.7</v>
      </c>
      <c r="AV13" s="210">
        <f t="shared" si="14"/>
        <v>-224.5</v>
      </c>
      <c r="AW13" s="251">
        <f t="shared" si="15"/>
        <v>38.69470234844347</v>
      </c>
      <c r="AX13" s="250">
        <f t="shared" si="28"/>
        <v>38.69470234844347</v>
      </c>
      <c r="AY13" s="213">
        <v>1979.5</v>
      </c>
      <c r="AZ13" s="254">
        <v>661.5</v>
      </c>
      <c r="BA13" s="214">
        <v>661.5</v>
      </c>
      <c r="BB13" s="210">
        <f t="shared" si="16"/>
        <v>0</v>
      </c>
      <c r="BC13" s="251">
        <f>BA13/AZ13%</f>
        <v>100</v>
      </c>
      <c r="BD13" s="250">
        <f t="shared" si="29"/>
        <v>33.41752967921192</v>
      </c>
      <c r="BE13" s="213">
        <v>6.4</v>
      </c>
      <c r="BF13" s="254">
        <v>6.4</v>
      </c>
      <c r="BG13" s="214"/>
      <c r="BH13" s="210">
        <f t="shared" si="17"/>
        <v>-6.4</v>
      </c>
      <c r="BI13" s="251"/>
      <c r="BJ13" s="250">
        <f t="shared" si="30"/>
        <v>0</v>
      </c>
      <c r="BK13" s="213">
        <v>74.8</v>
      </c>
      <c r="BL13" s="254">
        <v>74.8</v>
      </c>
      <c r="BM13" s="214">
        <v>128</v>
      </c>
      <c r="BN13" s="210">
        <f t="shared" si="19"/>
        <v>53.2</v>
      </c>
      <c r="BO13" s="251">
        <f t="shared" si="20"/>
        <v>171.12299465240642</v>
      </c>
      <c r="BP13" s="250">
        <f t="shared" si="31"/>
        <v>171.12299465240642</v>
      </c>
      <c r="BQ13" s="213"/>
      <c r="BR13" s="254"/>
      <c r="BS13" s="214"/>
      <c r="BT13" s="210">
        <f t="shared" si="32"/>
        <v>0</v>
      </c>
      <c r="BU13" s="251"/>
      <c r="BV13" s="250"/>
      <c r="BW13" s="212">
        <f t="shared" si="23"/>
        <v>3693.2000000000003</v>
      </c>
      <c r="BX13" s="144">
        <f t="shared" si="23"/>
        <v>1649</v>
      </c>
      <c r="BY13" s="144">
        <f t="shared" si="23"/>
        <v>1827.3</v>
      </c>
      <c r="BZ13" s="210">
        <f t="shared" si="34"/>
        <v>178.29999999999995</v>
      </c>
      <c r="CA13" s="210">
        <f t="shared" si="35"/>
        <v>110.81261370527594</v>
      </c>
      <c r="CB13" s="252">
        <f t="shared" si="36"/>
        <v>49.47741795732698</v>
      </c>
      <c r="CC13" s="253"/>
    </row>
    <row r="14" spans="1:81" ht="12.75">
      <c r="A14" s="121" t="s">
        <v>64</v>
      </c>
      <c r="B14" s="120"/>
      <c r="C14" s="213">
        <v>5439.2</v>
      </c>
      <c r="D14" s="254">
        <v>1686.3</v>
      </c>
      <c r="E14" s="214">
        <v>673.2</v>
      </c>
      <c r="F14" s="210">
        <f t="shared" si="22"/>
        <v>-1013.0999999999999</v>
      </c>
      <c r="G14" s="288">
        <f t="shared" si="0"/>
        <v>39.92172211350294</v>
      </c>
      <c r="H14" s="250">
        <f t="shared" si="1"/>
        <v>12.376820120605974</v>
      </c>
      <c r="I14" s="215">
        <v>180</v>
      </c>
      <c r="J14" s="254">
        <v>71</v>
      </c>
      <c r="K14" s="214">
        <v>17.5</v>
      </c>
      <c r="L14" s="210">
        <f t="shared" si="2"/>
        <v>-53.5</v>
      </c>
      <c r="M14" s="251">
        <f t="shared" si="3"/>
        <v>24.647887323943664</v>
      </c>
      <c r="N14" s="250">
        <f t="shared" si="24"/>
        <v>9.722222222222221</v>
      </c>
      <c r="O14" s="213">
        <v>245.8</v>
      </c>
      <c r="P14" s="254">
        <v>111.4</v>
      </c>
      <c r="Q14" s="214">
        <v>51.4</v>
      </c>
      <c r="R14" s="210">
        <f t="shared" si="4"/>
        <v>-60.00000000000001</v>
      </c>
      <c r="S14" s="251">
        <f t="shared" si="5"/>
        <v>46.14003590664272</v>
      </c>
      <c r="T14" s="250">
        <f t="shared" si="25"/>
        <v>20.911310008136695</v>
      </c>
      <c r="U14" s="213">
        <v>97</v>
      </c>
      <c r="V14" s="254">
        <v>65.7</v>
      </c>
      <c r="W14" s="214">
        <v>6.2</v>
      </c>
      <c r="X14" s="210">
        <f t="shared" si="6"/>
        <v>-59.5</v>
      </c>
      <c r="Y14" s="251">
        <f>W14/V14%</f>
        <v>9.43683409436834</v>
      </c>
      <c r="Z14" s="250">
        <f>W14/U14%</f>
        <v>6.391752577319588</v>
      </c>
      <c r="AA14" s="213">
        <v>80</v>
      </c>
      <c r="AB14" s="254">
        <v>23.5</v>
      </c>
      <c r="AC14" s="214">
        <v>4.9</v>
      </c>
      <c r="AD14" s="210">
        <f t="shared" si="8"/>
        <v>-18.6</v>
      </c>
      <c r="AE14" s="251">
        <f t="shared" si="9"/>
        <v>20.851063829787236</v>
      </c>
      <c r="AF14" s="250">
        <f>AC14/AA14%</f>
        <v>6.125</v>
      </c>
      <c r="AG14" s="213">
        <v>373.4</v>
      </c>
      <c r="AH14" s="254">
        <v>152</v>
      </c>
      <c r="AI14" s="214">
        <v>46.5</v>
      </c>
      <c r="AJ14" s="210">
        <f t="shared" si="10"/>
        <v>-105.5</v>
      </c>
      <c r="AK14" s="251">
        <f t="shared" si="11"/>
        <v>30.592105263157894</v>
      </c>
      <c r="AL14" s="250">
        <f t="shared" si="26"/>
        <v>12.453133369041243</v>
      </c>
      <c r="AM14" s="213">
        <v>288.2</v>
      </c>
      <c r="AN14" s="254">
        <v>87</v>
      </c>
      <c r="AO14" s="214">
        <v>60.5</v>
      </c>
      <c r="AP14" s="210">
        <f t="shared" si="12"/>
        <v>-26.5</v>
      </c>
      <c r="AQ14" s="251">
        <f t="shared" si="13"/>
        <v>69.54022988505747</v>
      </c>
      <c r="AR14" s="250">
        <f t="shared" si="27"/>
        <v>20.992366412213745</v>
      </c>
      <c r="AS14" s="213">
        <v>208.3</v>
      </c>
      <c r="AT14" s="254">
        <v>35.1</v>
      </c>
      <c r="AU14" s="214">
        <v>3.5</v>
      </c>
      <c r="AV14" s="210">
        <f t="shared" si="14"/>
        <v>-31.6</v>
      </c>
      <c r="AW14" s="251">
        <f t="shared" si="15"/>
        <v>9.97150997150997</v>
      </c>
      <c r="AX14" s="250">
        <f t="shared" si="28"/>
        <v>1.6802688430148822</v>
      </c>
      <c r="AY14" s="213">
        <v>655.1</v>
      </c>
      <c r="AZ14" s="254">
        <v>149.5</v>
      </c>
      <c r="BA14" s="214">
        <v>47.4</v>
      </c>
      <c r="BB14" s="210">
        <f t="shared" si="16"/>
        <v>-102.1</v>
      </c>
      <c r="BC14" s="251">
        <f>BA14/AZ14%</f>
        <v>31.705685618729095</v>
      </c>
      <c r="BD14" s="250">
        <f t="shared" si="29"/>
        <v>7.235536559303923</v>
      </c>
      <c r="BE14" s="213">
        <v>52</v>
      </c>
      <c r="BF14" s="254">
        <v>4.1</v>
      </c>
      <c r="BG14" s="214">
        <v>5</v>
      </c>
      <c r="BH14" s="210">
        <f t="shared" si="17"/>
        <v>0.9000000000000004</v>
      </c>
      <c r="BI14" s="251">
        <f t="shared" si="18"/>
        <v>121.95121951219514</v>
      </c>
      <c r="BJ14" s="250">
        <f t="shared" si="30"/>
        <v>9.615384615384615</v>
      </c>
      <c r="BK14" s="213">
        <v>295</v>
      </c>
      <c r="BL14" s="254">
        <v>139</v>
      </c>
      <c r="BM14" s="214">
        <v>67.2</v>
      </c>
      <c r="BN14" s="210">
        <f t="shared" si="19"/>
        <v>-71.8</v>
      </c>
      <c r="BO14" s="251">
        <f t="shared" si="20"/>
        <v>48.3453237410072</v>
      </c>
      <c r="BP14" s="250">
        <f t="shared" si="31"/>
        <v>22.779661016949152</v>
      </c>
      <c r="BQ14" s="213">
        <v>678.2</v>
      </c>
      <c r="BR14" s="254">
        <v>194</v>
      </c>
      <c r="BS14" s="214">
        <v>45.1</v>
      </c>
      <c r="BT14" s="210">
        <f t="shared" si="32"/>
        <v>-148.9</v>
      </c>
      <c r="BU14" s="251">
        <f t="shared" si="21"/>
        <v>23.247422680412374</v>
      </c>
      <c r="BV14" s="250">
        <f t="shared" si="33"/>
        <v>6.6499557652609855</v>
      </c>
      <c r="BW14" s="212">
        <f t="shared" si="23"/>
        <v>8592.2</v>
      </c>
      <c r="BX14" s="144">
        <f t="shared" si="23"/>
        <v>2718.6</v>
      </c>
      <c r="BY14" s="144">
        <f t="shared" si="23"/>
        <v>1028.4</v>
      </c>
      <c r="BZ14" s="210">
        <f t="shared" si="34"/>
        <v>-1690.1999999999998</v>
      </c>
      <c r="CA14" s="210">
        <f t="shared" si="35"/>
        <v>37.828293974839994</v>
      </c>
      <c r="CB14" s="252">
        <f t="shared" si="36"/>
        <v>11.968995135122553</v>
      </c>
      <c r="CC14" s="253"/>
    </row>
    <row r="15" spans="1:81" ht="12.75">
      <c r="A15" s="121" t="s">
        <v>103</v>
      </c>
      <c r="B15" s="120"/>
      <c r="C15" s="213">
        <v>28710.2</v>
      </c>
      <c r="D15" s="254">
        <v>15670.2</v>
      </c>
      <c r="E15" s="214">
        <v>6686.5</v>
      </c>
      <c r="F15" s="210">
        <f t="shared" si="22"/>
        <v>-8983.7</v>
      </c>
      <c r="G15" s="288">
        <f t="shared" si="0"/>
        <v>42.670163750303125</v>
      </c>
      <c r="H15" s="250">
        <f t="shared" si="1"/>
        <v>23.289632256131963</v>
      </c>
      <c r="I15" s="215"/>
      <c r="J15" s="254"/>
      <c r="K15" s="214"/>
      <c r="L15" s="210"/>
      <c r="M15" s="251"/>
      <c r="N15" s="250"/>
      <c r="O15" s="213"/>
      <c r="P15" s="254"/>
      <c r="Q15" s="214"/>
      <c r="R15" s="210"/>
      <c r="S15" s="251"/>
      <c r="T15" s="250"/>
      <c r="U15" s="213"/>
      <c r="V15" s="254"/>
      <c r="W15" s="214"/>
      <c r="X15" s="210"/>
      <c r="Y15" s="251"/>
      <c r="Z15" s="250"/>
      <c r="AA15" s="213"/>
      <c r="AB15" s="254"/>
      <c r="AC15" s="214"/>
      <c r="AD15" s="210"/>
      <c r="AE15" s="251"/>
      <c r="AF15" s="250"/>
      <c r="AG15" s="213"/>
      <c r="AH15" s="254"/>
      <c r="AI15" s="214"/>
      <c r="AJ15" s="210"/>
      <c r="AK15" s="251"/>
      <c r="AL15" s="250"/>
      <c r="AM15" s="213"/>
      <c r="AN15" s="254"/>
      <c r="AO15" s="214"/>
      <c r="AP15" s="210"/>
      <c r="AQ15" s="251"/>
      <c r="AR15" s="250"/>
      <c r="AS15" s="213"/>
      <c r="AT15" s="254"/>
      <c r="AU15" s="214"/>
      <c r="AV15" s="210"/>
      <c r="AW15" s="251"/>
      <c r="AX15" s="250"/>
      <c r="AY15" s="213"/>
      <c r="AZ15" s="254"/>
      <c r="BA15" s="214"/>
      <c r="BB15" s="210"/>
      <c r="BC15" s="251"/>
      <c r="BD15" s="250"/>
      <c r="BE15" s="213"/>
      <c r="BF15" s="254"/>
      <c r="BG15" s="214"/>
      <c r="BH15" s="210"/>
      <c r="BI15" s="251"/>
      <c r="BJ15" s="250"/>
      <c r="BK15" s="213"/>
      <c r="BL15" s="254"/>
      <c r="BM15" s="214"/>
      <c r="BN15" s="210"/>
      <c r="BO15" s="251"/>
      <c r="BP15" s="250"/>
      <c r="BQ15" s="213">
        <v>3565.9</v>
      </c>
      <c r="BR15" s="254">
        <v>1641.7</v>
      </c>
      <c r="BS15" s="214">
        <v>740.4</v>
      </c>
      <c r="BT15" s="210">
        <f t="shared" si="32"/>
        <v>-901.3000000000001</v>
      </c>
      <c r="BU15" s="251">
        <f t="shared" si="21"/>
        <v>45.09959188645915</v>
      </c>
      <c r="BV15" s="250">
        <f t="shared" si="33"/>
        <v>20.763341652878655</v>
      </c>
      <c r="BW15" s="212">
        <f t="shared" si="23"/>
        <v>32276.100000000002</v>
      </c>
      <c r="BX15" s="144">
        <f t="shared" si="23"/>
        <v>17311.9</v>
      </c>
      <c r="BY15" s="144">
        <f t="shared" si="23"/>
        <v>7426.9</v>
      </c>
      <c r="BZ15" s="210">
        <f t="shared" si="34"/>
        <v>-9885.000000000002</v>
      </c>
      <c r="CA15" s="210">
        <f t="shared" si="35"/>
        <v>42.90054817784298</v>
      </c>
      <c r="CB15" s="252">
        <f t="shared" si="36"/>
        <v>23.010524815575607</v>
      </c>
      <c r="CC15" s="253"/>
    </row>
    <row r="16" spans="1:81" s="124" customFormat="1" ht="12.75">
      <c r="A16" s="122" t="s">
        <v>65</v>
      </c>
      <c r="B16" s="123"/>
      <c r="C16" s="216">
        <v>23561.8</v>
      </c>
      <c r="D16" s="255">
        <v>13581.9</v>
      </c>
      <c r="E16" s="217">
        <v>11036.8</v>
      </c>
      <c r="F16" s="210">
        <f t="shared" si="22"/>
        <v>-2545.1000000000004</v>
      </c>
      <c r="G16" s="288">
        <f t="shared" si="0"/>
        <v>81.26109012730178</v>
      </c>
      <c r="H16" s="250">
        <f t="shared" si="1"/>
        <v>46.84192209423728</v>
      </c>
      <c r="I16" s="218">
        <v>2636</v>
      </c>
      <c r="J16" s="255">
        <v>1546.4</v>
      </c>
      <c r="K16" s="217">
        <v>1167.7</v>
      </c>
      <c r="L16" s="210">
        <f t="shared" si="2"/>
        <v>-378.70000000000005</v>
      </c>
      <c r="M16" s="251">
        <f t="shared" si="3"/>
        <v>75.51086394205898</v>
      </c>
      <c r="N16" s="250">
        <f t="shared" si="24"/>
        <v>44.298179059180576</v>
      </c>
      <c r="O16" s="216">
        <v>3300</v>
      </c>
      <c r="P16" s="255">
        <v>2843.1</v>
      </c>
      <c r="Q16" s="217">
        <v>3336.6</v>
      </c>
      <c r="R16" s="210">
        <f t="shared" si="4"/>
        <v>493.5</v>
      </c>
      <c r="S16" s="251">
        <f t="shared" si="5"/>
        <v>117.35781365410996</v>
      </c>
      <c r="T16" s="250">
        <f t="shared" si="25"/>
        <v>101.10909090909091</v>
      </c>
      <c r="U16" s="216">
        <v>3364.1</v>
      </c>
      <c r="V16" s="255">
        <v>796.7</v>
      </c>
      <c r="W16" s="217">
        <v>860.1</v>
      </c>
      <c r="X16" s="210">
        <f t="shared" si="6"/>
        <v>63.39999999999998</v>
      </c>
      <c r="Y16" s="251">
        <f t="shared" si="7"/>
        <v>107.95782603238358</v>
      </c>
      <c r="Z16" s="250">
        <f>W16/U16%</f>
        <v>25.567016438274727</v>
      </c>
      <c r="AA16" s="216">
        <v>3900</v>
      </c>
      <c r="AB16" s="255">
        <v>1661.5</v>
      </c>
      <c r="AC16" s="217">
        <v>1023.9</v>
      </c>
      <c r="AD16" s="210">
        <f t="shared" si="8"/>
        <v>-637.6</v>
      </c>
      <c r="AE16" s="251">
        <f t="shared" si="9"/>
        <v>61.6250376166115</v>
      </c>
      <c r="AF16" s="250">
        <f>AC16/AA16%</f>
        <v>26.253846153846155</v>
      </c>
      <c r="AG16" s="216">
        <v>1933.2</v>
      </c>
      <c r="AH16" s="255">
        <v>855.5</v>
      </c>
      <c r="AI16" s="217">
        <v>600.3</v>
      </c>
      <c r="AJ16" s="381" t="s">
        <v>83</v>
      </c>
      <c r="AK16" s="251">
        <f t="shared" si="11"/>
        <v>70.16949152542372</v>
      </c>
      <c r="AL16" s="250">
        <f t="shared" si="26"/>
        <v>31.052141527001858</v>
      </c>
      <c r="AM16" s="216">
        <v>3247.1</v>
      </c>
      <c r="AN16" s="255">
        <v>1802.8</v>
      </c>
      <c r="AO16" s="217">
        <v>1100.3</v>
      </c>
      <c r="AP16" s="210">
        <f t="shared" si="12"/>
        <v>-702.5</v>
      </c>
      <c r="AQ16" s="251">
        <f t="shared" si="13"/>
        <v>61.03283780785445</v>
      </c>
      <c r="AR16" s="250">
        <f t="shared" si="27"/>
        <v>33.885621015675525</v>
      </c>
      <c r="AS16" s="216">
        <v>2173.3</v>
      </c>
      <c r="AT16" s="255">
        <v>1059</v>
      </c>
      <c r="AU16" s="217">
        <v>362.3</v>
      </c>
      <c r="AV16" s="210">
        <f t="shared" si="14"/>
        <v>-696.7</v>
      </c>
      <c r="AW16" s="251">
        <f t="shared" si="15"/>
        <v>34.21152030217186</v>
      </c>
      <c r="AX16" s="250">
        <f t="shared" si="28"/>
        <v>16.670501081304927</v>
      </c>
      <c r="AY16" s="216">
        <v>3880.4</v>
      </c>
      <c r="AZ16" s="255">
        <v>2395.3</v>
      </c>
      <c r="BA16" s="217">
        <v>2361.8</v>
      </c>
      <c r="BB16" s="210">
        <f t="shared" si="16"/>
        <v>-33.5</v>
      </c>
      <c r="BC16" s="251">
        <f>BA16/AZ16%</f>
        <v>98.6014277961007</v>
      </c>
      <c r="BD16" s="250">
        <f t="shared" si="29"/>
        <v>60.86485929285641</v>
      </c>
      <c r="BE16" s="216">
        <v>1420.9</v>
      </c>
      <c r="BF16" s="255">
        <v>125.6</v>
      </c>
      <c r="BG16" s="217">
        <v>164.9</v>
      </c>
      <c r="BH16" s="210">
        <f t="shared" si="17"/>
        <v>39.30000000000001</v>
      </c>
      <c r="BI16" s="251">
        <f t="shared" si="18"/>
        <v>131.28980891719746</v>
      </c>
      <c r="BJ16" s="250">
        <f t="shared" si="30"/>
        <v>11.605320571468786</v>
      </c>
      <c r="BK16" s="216">
        <v>1820.4</v>
      </c>
      <c r="BL16" s="255">
        <v>1082.7</v>
      </c>
      <c r="BM16" s="217">
        <v>625.3</v>
      </c>
      <c r="BN16" s="210">
        <f t="shared" si="19"/>
        <v>-457.4000000000001</v>
      </c>
      <c r="BO16" s="251">
        <f t="shared" si="20"/>
        <v>57.75376373880114</v>
      </c>
      <c r="BP16" s="250">
        <f t="shared" si="31"/>
        <v>34.349593495934954</v>
      </c>
      <c r="BQ16" s="216">
        <v>4169</v>
      </c>
      <c r="BR16" s="255">
        <v>2761.5</v>
      </c>
      <c r="BS16" s="217">
        <v>2534.7</v>
      </c>
      <c r="BT16" s="210">
        <f t="shared" si="32"/>
        <v>-226.80000000000018</v>
      </c>
      <c r="BU16" s="251">
        <f t="shared" si="21"/>
        <v>91.787072243346</v>
      </c>
      <c r="BV16" s="250">
        <f t="shared" si="33"/>
        <v>60.79875269848885</v>
      </c>
      <c r="BW16" s="212">
        <f t="shared" si="23"/>
        <v>55406.200000000004</v>
      </c>
      <c r="BX16" s="144">
        <f t="shared" si="23"/>
        <v>30511.999999999996</v>
      </c>
      <c r="BY16" s="144">
        <f t="shared" si="23"/>
        <v>25174.7</v>
      </c>
      <c r="BZ16" s="210">
        <f t="shared" si="34"/>
        <v>-5337.299999999996</v>
      </c>
      <c r="CA16" s="210">
        <f t="shared" si="35"/>
        <v>82.50753801782906</v>
      </c>
      <c r="CB16" s="252">
        <f t="shared" si="36"/>
        <v>45.43661178712852</v>
      </c>
      <c r="CC16" s="256"/>
    </row>
    <row r="17" spans="1:81" ht="12.75" customHeight="1">
      <c r="A17" s="125" t="s">
        <v>66</v>
      </c>
      <c r="B17" s="126"/>
      <c r="C17" s="216"/>
      <c r="D17" s="257"/>
      <c r="E17" s="219"/>
      <c r="F17" s="210">
        <f t="shared" si="22"/>
        <v>0</v>
      </c>
      <c r="G17" s="288"/>
      <c r="H17" s="250"/>
      <c r="I17" s="218">
        <v>25</v>
      </c>
      <c r="J17" s="257">
        <v>12</v>
      </c>
      <c r="K17" s="219">
        <v>6.6</v>
      </c>
      <c r="L17" s="210">
        <f t="shared" si="2"/>
        <v>-5.4</v>
      </c>
      <c r="M17" s="251">
        <f t="shared" si="3"/>
        <v>55</v>
      </c>
      <c r="N17" s="250">
        <f t="shared" si="24"/>
        <v>26.4</v>
      </c>
      <c r="O17" s="216">
        <v>76.5</v>
      </c>
      <c r="P17" s="257">
        <v>27</v>
      </c>
      <c r="Q17" s="219">
        <v>14.2</v>
      </c>
      <c r="R17" s="210">
        <f t="shared" si="4"/>
        <v>-12.8</v>
      </c>
      <c r="S17" s="251">
        <f t="shared" si="5"/>
        <v>52.59259259259259</v>
      </c>
      <c r="T17" s="250">
        <f t="shared" si="25"/>
        <v>18.562091503267972</v>
      </c>
      <c r="U17" s="216">
        <v>18.7</v>
      </c>
      <c r="V17" s="257">
        <v>10.1</v>
      </c>
      <c r="W17" s="219">
        <v>0.7</v>
      </c>
      <c r="X17" s="210">
        <f t="shared" si="6"/>
        <v>-9.4</v>
      </c>
      <c r="Y17" s="251">
        <f t="shared" si="7"/>
        <v>6.930693069306931</v>
      </c>
      <c r="Z17" s="250">
        <f>W17/U17%</f>
        <v>3.7433155080213902</v>
      </c>
      <c r="AA17" s="216">
        <v>45</v>
      </c>
      <c r="AB17" s="257">
        <v>35.9</v>
      </c>
      <c r="AC17" s="219">
        <v>10</v>
      </c>
      <c r="AD17" s="210">
        <f t="shared" si="8"/>
        <v>-25.9</v>
      </c>
      <c r="AE17" s="251">
        <f t="shared" si="9"/>
        <v>27.85515320334262</v>
      </c>
      <c r="AF17" s="250">
        <f>AC17/AA17%</f>
        <v>22.22222222222222</v>
      </c>
      <c r="AG17" s="216">
        <v>52</v>
      </c>
      <c r="AH17" s="257">
        <v>32.1</v>
      </c>
      <c r="AI17" s="219">
        <v>17.8</v>
      </c>
      <c r="AJ17" s="210">
        <f t="shared" si="10"/>
        <v>-14.3</v>
      </c>
      <c r="AK17" s="251">
        <f t="shared" si="11"/>
        <v>55.45171339563863</v>
      </c>
      <c r="AL17" s="250">
        <f t="shared" si="26"/>
        <v>34.23076923076923</v>
      </c>
      <c r="AM17" s="216">
        <v>36.9</v>
      </c>
      <c r="AN17" s="257">
        <v>8.3</v>
      </c>
      <c r="AO17" s="219">
        <v>3.5</v>
      </c>
      <c r="AP17" s="210">
        <f t="shared" si="12"/>
        <v>-4.800000000000001</v>
      </c>
      <c r="AQ17" s="251">
        <f t="shared" si="13"/>
        <v>42.16867469879518</v>
      </c>
      <c r="AR17" s="250">
        <f t="shared" si="27"/>
        <v>9.48509485094851</v>
      </c>
      <c r="AS17" s="216">
        <v>28.9</v>
      </c>
      <c r="AT17" s="257">
        <v>12.5</v>
      </c>
      <c r="AU17" s="219">
        <v>9.8</v>
      </c>
      <c r="AV17" s="210">
        <f t="shared" si="14"/>
        <v>-2.6999999999999993</v>
      </c>
      <c r="AW17" s="251">
        <f t="shared" si="15"/>
        <v>78.4</v>
      </c>
      <c r="AX17" s="250">
        <f t="shared" si="28"/>
        <v>33.91003460207613</v>
      </c>
      <c r="AY17" s="216">
        <v>8</v>
      </c>
      <c r="AZ17" s="257">
        <v>5.1</v>
      </c>
      <c r="BA17" s="219">
        <v>4.2</v>
      </c>
      <c r="BB17" s="210">
        <f t="shared" si="16"/>
        <v>-0.8999999999999995</v>
      </c>
      <c r="BC17" s="251">
        <f>BA17/AZ17%</f>
        <v>82.3529411764706</v>
      </c>
      <c r="BD17" s="250">
        <f t="shared" si="29"/>
        <v>52.5</v>
      </c>
      <c r="BE17" s="216">
        <v>24.3</v>
      </c>
      <c r="BF17" s="257">
        <v>20.1</v>
      </c>
      <c r="BG17" s="219">
        <v>17.4</v>
      </c>
      <c r="BH17" s="210">
        <f t="shared" si="17"/>
        <v>-2.700000000000003</v>
      </c>
      <c r="BI17" s="251">
        <f t="shared" si="18"/>
        <v>86.56716417910447</v>
      </c>
      <c r="BJ17" s="250">
        <f t="shared" si="30"/>
        <v>71.60493827160494</v>
      </c>
      <c r="BK17" s="216">
        <v>70.4</v>
      </c>
      <c r="BL17" s="257">
        <v>38.3</v>
      </c>
      <c r="BM17" s="219">
        <v>20.8</v>
      </c>
      <c r="BN17" s="210">
        <f t="shared" si="19"/>
        <v>-17.499999999999996</v>
      </c>
      <c r="BO17" s="251">
        <f t="shared" si="20"/>
        <v>54.308093994778076</v>
      </c>
      <c r="BP17" s="250">
        <f t="shared" si="31"/>
        <v>29.545454545454543</v>
      </c>
      <c r="BQ17" s="216">
        <v>42</v>
      </c>
      <c r="BR17" s="257">
        <v>34.3</v>
      </c>
      <c r="BS17" s="219">
        <v>25.8</v>
      </c>
      <c r="BT17" s="210">
        <f t="shared" si="32"/>
        <v>-8.499999999999996</v>
      </c>
      <c r="BU17" s="251">
        <f t="shared" si="21"/>
        <v>75.21865889212829</v>
      </c>
      <c r="BV17" s="250">
        <f t="shared" si="33"/>
        <v>61.42857142857143</v>
      </c>
      <c r="BW17" s="212">
        <f t="shared" si="23"/>
        <v>427.70000000000005</v>
      </c>
      <c r="BX17" s="144">
        <f t="shared" si="23"/>
        <v>235.7</v>
      </c>
      <c r="BY17" s="144">
        <f t="shared" si="23"/>
        <v>130.79999999999998</v>
      </c>
      <c r="BZ17" s="210">
        <f t="shared" si="34"/>
        <v>-104.9</v>
      </c>
      <c r="CA17" s="210">
        <f t="shared" si="35"/>
        <v>55.49427238014425</v>
      </c>
      <c r="CB17" s="252">
        <f t="shared" si="36"/>
        <v>30.58218377367313</v>
      </c>
      <c r="CC17" s="253"/>
    </row>
    <row r="18" spans="1:81" s="129" customFormat="1" ht="21.75" customHeight="1">
      <c r="A18" s="127" t="s">
        <v>67</v>
      </c>
      <c r="B18" s="128"/>
      <c r="C18" s="220">
        <f>SUM(C19:C27)</f>
        <v>9435.800000000001</v>
      </c>
      <c r="D18" s="221">
        <f>SUM(D19:D27)</f>
        <v>7152.9</v>
      </c>
      <c r="E18" s="221">
        <f>SUM(E19:E27)</f>
        <v>7884</v>
      </c>
      <c r="F18" s="258">
        <f t="shared" si="22"/>
        <v>731.1000000000004</v>
      </c>
      <c r="G18" s="206">
        <f t="shared" si="0"/>
        <v>110.22102923289854</v>
      </c>
      <c r="H18" s="248">
        <f>E18/C18%</f>
        <v>83.55412365671167</v>
      </c>
      <c r="I18" s="220">
        <f>SUM(I19:I27)</f>
        <v>526.8</v>
      </c>
      <c r="J18" s="221">
        <f>SUM(J19:J27)</f>
        <v>384.29999999999995</v>
      </c>
      <c r="K18" s="221">
        <f>SUM(K19:K27)</f>
        <v>312.5</v>
      </c>
      <c r="L18" s="258">
        <f t="shared" si="2"/>
        <v>-71.79999999999995</v>
      </c>
      <c r="M18" s="259">
        <f>K18/J18%</f>
        <v>81.31667967733543</v>
      </c>
      <c r="N18" s="248">
        <f t="shared" si="24"/>
        <v>59.3204252088079</v>
      </c>
      <c r="O18" s="220">
        <f>SUM(O19:O27)</f>
        <v>389.6</v>
      </c>
      <c r="P18" s="221">
        <f>SUM(P19:P27)</f>
        <v>307.90000000000003</v>
      </c>
      <c r="Q18" s="221">
        <f>SUM(Q19:Q27)</f>
        <v>238.3</v>
      </c>
      <c r="R18" s="258">
        <f t="shared" si="4"/>
        <v>-69.60000000000002</v>
      </c>
      <c r="S18" s="259">
        <f>Q18/P18%</f>
        <v>77.39525820071452</v>
      </c>
      <c r="T18" s="248">
        <f t="shared" si="25"/>
        <v>61.1652977412731</v>
      </c>
      <c r="U18" s="220">
        <f>SUM(U19:U27)</f>
        <v>84.4</v>
      </c>
      <c r="V18" s="221">
        <f>SUM(V19:V27)</f>
        <v>62.49999999999999</v>
      </c>
      <c r="W18" s="221">
        <f>SUM(W19:W27)</f>
        <v>22.700000000000003</v>
      </c>
      <c r="X18" s="258">
        <f t="shared" si="6"/>
        <v>-39.79999999999999</v>
      </c>
      <c r="Y18" s="251">
        <f t="shared" si="7"/>
        <v>36.320000000000014</v>
      </c>
      <c r="Z18" s="248">
        <f>W18/U18%</f>
        <v>26.895734597156398</v>
      </c>
      <c r="AA18" s="220">
        <f>SUM(AA19:AA27)</f>
        <v>315.20000000000005</v>
      </c>
      <c r="AB18" s="221">
        <f>SUM(AB19:AB27)</f>
        <v>232.9</v>
      </c>
      <c r="AC18" s="221">
        <f>SUM(AC19:AC27)</f>
        <v>163.6</v>
      </c>
      <c r="AD18" s="258">
        <f t="shared" si="8"/>
        <v>-69.30000000000001</v>
      </c>
      <c r="AE18" s="259">
        <f>AC18/AB18%</f>
        <v>70.24474023185915</v>
      </c>
      <c r="AF18" s="248">
        <f>AC18/AA18%</f>
        <v>51.90355329949237</v>
      </c>
      <c r="AG18" s="220">
        <f>SUM(AG19:AG27)</f>
        <v>280.7</v>
      </c>
      <c r="AH18" s="221">
        <f>SUM(AH19:AH27)</f>
        <v>195.40000000000003</v>
      </c>
      <c r="AI18" s="221">
        <f>SUM(AI19:AI27)</f>
        <v>161.3</v>
      </c>
      <c r="AJ18" s="258">
        <f t="shared" si="10"/>
        <v>-34.10000000000002</v>
      </c>
      <c r="AK18" s="259">
        <f>AI18/AH18%</f>
        <v>82.54861821903786</v>
      </c>
      <c r="AL18" s="248">
        <f t="shared" si="26"/>
        <v>57.463484146775926</v>
      </c>
      <c r="AM18" s="220">
        <f>SUM(AM19:AM27)</f>
        <v>420.5</v>
      </c>
      <c r="AN18" s="221">
        <f>SUM(AN19:AN27)</f>
        <v>247.7</v>
      </c>
      <c r="AO18" s="221">
        <f>SUM(AO19:AO27)</f>
        <v>71.6</v>
      </c>
      <c r="AP18" s="258">
        <f t="shared" si="12"/>
        <v>-176.1</v>
      </c>
      <c r="AQ18" s="259">
        <f>AO18/AN18%</f>
        <v>28.9059345983044</v>
      </c>
      <c r="AR18" s="248">
        <f t="shared" si="27"/>
        <v>17.027348394768133</v>
      </c>
      <c r="AS18" s="220">
        <f>SUM(AS19:AS27)</f>
        <v>1378.7</v>
      </c>
      <c r="AT18" s="221">
        <f>SUM(AT19:AT27)</f>
        <v>1357.2</v>
      </c>
      <c r="AU18" s="221">
        <f>SUM(AU19:AU27)</f>
        <v>6882</v>
      </c>
      <c r="AV18" s="258">
        <f t="shared" si="14"/>
        <v>5524.8</v>
      </c>
      <c r="AW18" s="259">
        <f>AU18/AT18%</f>
        <v>507.0733863837312</v>
      </c>
      <c r="AX18" s="248">
        <f t="shared" si="28"/>
        <v>499.16588090229925</v>
      </c>
      <c r="AY18" s="220">
        <f>SUM(AY19:AY27)</f>
        <v>35.1</v>
      </c>
      <c r="AZ18" s="221">
        <f>SUM(AZ19:AZ27)</f>
        <v>6.6</v>
      </c>
      <c r="BA18" s="221">
        <f>SUM(BA19:BA27)</f>
        <v>899</v>
      </c>
      <c r="BB18" s="258">
        <f t="shared" si="16"/>
        <v>892.4</v>
      </c>
      <c r="BC18" s="251">
        <f>BA18/AZ18%</f>
        <v>13621.21212121212</v>
      </c>
      <c r="BD18" s="248">
        <f t="shared" si="29"/>
        <v>2561.253561253561</v>
      </c>
      <c r="BE18" s="220">
        <f>SUM(BE19:BE27)</f>
        <v>45.300000000000004</v>
      </c>
      <c r="BF18" s="221">
        <f>SUM(BF19:BF27)</f>
        <v>36</v>
      </c>
      <c r="BG18" s="221">
        <f>SUM(BG19:BG27)</f>
        <v>20.6</v>
      </c>
      <c r="BH18" s="258">
        <f t="shared" si="17"/>
        <v>-15.399999999999999</v>
      </c>
      <c r="BI18" s="259">
        <f>BG18/BF18%</f>
        <v>57.22222222222223</v>
      </c>
      <c r="BJ18" s="248">
        <f t="shared" si="30"/>
        <v>45.47461368653421</v>
      </c>
      <c r="BK18" s="220">
        <f>SUM(BK19:BK27)</f>
        <v>373.3</v>
      </c>
      <c r="BL18" s="221">
        <f>SUM(BL19:BL27)</f>
        <v>292</v>
      </c>
      <c r="BM18" s="221">
        <f>SUM(BM19:BM27)</f>
        <v>306.7</v>
      </c>
      <c r="BN18" s="258">
        <f t="shared" si="19"/>
        <v>14.699999999999989</v>
      </c>
      <c r="BO18" s="259">
        <f>BM18/BL18%</f>
        <v>105.03424657534246</v>
      </c>
      <c r="BP18" s="248">
        <f t="shared" si="31"/>
        <v>82.15912135012054</v>
      </c>
      <c r="BQ18" s="220">
        <f>SUM(BQ19:BQ27)</f>
        <v>1885.6999999999998</v>
      </c>
      <c r="BR18" s="221">
        <f>SUM(BR19:BR27)</f>
        <v>1543.5</v>
      </c>
      <c r="BS18" s="221">
        <f>SUM(BS19:BS27)</f>
        <v>1305.1999999999998</v>
      </c>
      <c r="BT18" s="258">
        <f t="shared" si="32"/>
        <v>-238.30000000000018</v>
      </c>
      <c r="BU18" s="259">
        <f>BS18/BR18%</f>
        <v>84.56106252024618</v>
      </c>
      <c r="BV18" s="248">
        <f t="shared" si="33"/>
        <v>69.21567587633238</v>
      </c>
      <c r="BW18" s="203">
        <f>C18+I18+O18+U18+AA18+AG18+AM18+AS18+AY18+BE18+BK18+BQ18</f>
        <v>15171.100000000002</v>
      </c>
      <c r="BX18" s="222">
        <f>D18+J18+P18+V18+AB18+AH18+AN18+AT18+AZ18+BF18+BL18+BR18</f>
        <v>11818.900000000001</v>
      </c>
      <c r="BY18" s="222">
        <f>E18+K18+Q18+W18+AC18+AI18+AO18+AU18+BA18+BG18+BM18+BS18</f>
        <v>18267.5</v>
      </c>
      <c r="BZ18" s="258">
        <f t="shared" si="34"/>
        <v>6448.5999999999985</v>
      </c>
      <c r="CA18" s="258">
        <f t="shared" si="35"/>
        <v>154.5617612468165</v>
      </c>
      <c r="CB18" s="249">
        <f t="shared" si="36"/>
        <v>120.40985821726835</v>
      </c>
      <c r="CC18" s="260"/>
    </row>
    <row r="19" spans="1:81" s="132" customFormat="1" ht="12.75">
      <c r="A19" s="130" t="s">
        <v>68</v>
      </c>
      <c r="B19" s="131"/>
      <c r="C19" s="223">
        <v>5420.5</v>
      </c>
      <c r="D19" s="261">
        <v>3453.6</v>
      </c>
      <c r="E19" s="224">
        <v>2400.8</v>
      </c>
      <c r="F19" s="210">
        <f t="shared" si="22"/>
        <v>-1052.7999999999997</v>
      </c>
      <c r="G19" s="288">
        <f t="shared" si="0"/>
        <v>69.5158675005791</v>
      </c>
      <c r="H19" s="250">
        <f>E19/C19%</f>
        <v>44.29111705562218</v>
      </c>
      <c r="I19" s="225">
        <v>450</v>
      </c>
      <c r="J19" s="261">
        <v>330</v>
      </c>
      <c r="K19" s="224">
        <v>136.7</v>
      </c>
      <c r="L19" s="210">
        <f t="shared" si="2"/>
        <v>-193.3</v>
      </c>
      <c r="M19" s="251">
        <f t="shared" si="3"/>
        <v>41.42424242424242</v>
      </c>
      <c r="N19" s="250">
        <f t="shared" si="24"/>
        <v>30.377777777777776</v>
      </c>
      <c r="O19" s="223">
        <v>193</v>
      </c>
      <c r="P19" s="261">
        <v>144.9</v>
      </c>
      <c r="Q19" s="224">
        <v>99.4</v>
      </c>
      <c r="R19" s="210">
        <f t="shared" si="4"/>
        <v>-45.5</v>
      </c>
      <c r="S19" s="251">
        <f>Q19/P19%</f>
        <v>68.59903381642512</v>
      </c>
      <c r="T19" s="250">
        <f t="shared" si="25"/>
        <v>51.502590673575135</v>
      </c>
      <c r="U19" s="223">
        <v>49.2</v>
      </c>
      <c r="V19" s="261">
        <v>36.9</v>
      </c>
      <c r="W19" s="224">
        <v>16.6</v>
      </c>
      <c r="X19" s="210">
        <f t="shared" si="6"/>
        <v>-20.299999999999997</v>
      </c>
      <c r="Y19" s="251">
        <f t="shared" si="7"/>
        <v>44.98644986449865</v>
      </c>
      <c r="Z19" s="250">
        <f>W19/U19%</f>
        <v>33.739837398373986</v>
      </c>
      <c r="AA19" s="223">
        <v>290</v>
      </c>
      <c r="AB19" s="261">
        <v>217.5</v>
      </c>
      <c r="AC19" s="224">
        <v>163.6</v>
      </c>
      <c r="AD19" s="210">
        <f t="shared" si="8"/>
        <v>-53.900000000000006</v>
      </c>
      <c r="AE19" s="251">
        <f t="shared" si="9"/>
        <v>75.2183908045977</v>
      </c>
      <c r="AF19" s="250"/>
      <c r="AG19" s="223"/>
      <c r="AH19" s="261"/>
      <c r="AI19" s="224"/>
      <c r="AJ19" s="210">
        <f t="shared" si="10"/>
        <v>0</v>
      </c>
      <c r="AK19" s="251"/>
      <c r="AL19" s="250"/>
      <c r="AM19" s="223">
        <v>410.9</v>
      </c>
      <c r="AN19" s="261">
        <v>238.7</v>
      </c>
      <c r="AO19" s="224">
        <v>71.6</v>
      </c>
      <c r="AP19" s="210">
        <f t="shared" si="12"/>
        <v>-167.1</v>
      </c>
      <c r="AQ19" s="251">
        <f>AO19/AN19%</f>
        <v>29.99581064097193</v>
      </c>
      <c r="AR19" s="250">
        <f t="shared" si="27"/>
        <v>17.425164273545874</v>
      </c>
      <c r="AS19" s="223">
        <v>79.1</v>
      </c>
      <c r="AT19" s="261">
        <v>59.4</v>
      </c>
      <c r="AU19" s="224">
        <v>34.1</v>
      </c>
      <c r="AV19" s="210">
        <f t="shared" si="14"/>
        <v>-25.299999999999997</v>
      </c>
      <c r="AW19" s="251">
        <f>AU19/AT19%</f>
        <v>57.40740740740741</v>
      </c>
      <c r="AX19" s="250">
        <f t="shared" si="28"/>
        <v>43.109987357774976</v>
      </c>
      <c r="AY19" s="223">
        <v>20.5</v>
      </c>
      <c r="AZ19" s="261"/>
      <c r="BA19" s="224"/>
      <c r="BB19" s="210">
        <f t="shared" si="16"/>
        <v>0</v>
      </c>
      <c r="BC19" s="251"/>
      <c r="BD19" s="248">
        <f t="shared" si="29"/>
        <v>0</v>
      </c>
      <c r="BE19" s="223"/>
      <c r="BF19" s="261"/>
      <c r="BG19" s="224"/>
      <c r="BH19" s="210">
        <f t="shared" si="17"/>
        <v>0</v>
      </c>
      <c r="BI19" s="251"/>
      <c r="BJ19" s="250"/>
      <c r="BK19" s="223">
        <v>195</v>
      </c>
      <c r="BL19" s="261">
        <v>146.4</v>
      </c>
      <c r="BM19" s="224">
        <v>143.1</v>
      </c>
      <c r="BN19" s="210">
        <f t="shared" si="19"/>
        <v>-3.3000000000000114</v>
      </c>
      <c r="BO19" s="251">
        <f>BM19/BL19%</f>
        <v>97.74590163934425</v>
      </c>
      <c r="BP19" s="250">
        <f t="shared" si="31"/>
        <v>73.38461538461539</v>
      </c>
      <c r="BQ19" s="223">
        <v>215.3</v>
      </c>
      <c r="BR19" s="261">
        <v>120.1</v>
      </c>
      <c r="BS19" s="224">
        <v>72.4</v>
      </c>
      <c r="BT19" s="210">
        <f t="shared" si="32"/>
        <v>-47.69999999999999</v>
      </c>
      <c r="BU19" s="251">
        <f>BS19/BR19%</f>
        <v>60.28309741881766</v>
      </c>
      <c r="BV19" s="250">
        <f t="shared" si="33"/>
        <v>33.62749651648862</v>
      </c>
      <c r="BW19" s="212">
        <f>C19+I19+O19+U19+AA19+AG19+AM19+AS19+AY19+BE19+BK19+BQ19</f>
        <v>7323.5</v>
      </c>
      <c r="BX19" s="226">
        <f aca="true" t="shared" si="37" ref="BX19:BY34">D19+J19+P19+V19+AB19+AH19+AN19+AT19+AZ19+BF19+BL19+BR19</f>
        <v>4747.499999999999</v>
      </c>
      <c r="BY19" s="226">
        <f t="shared" si="37"/>
        <v>3138.2999999999997</v>
      </c>
      <c r="BZ19" s="210">
        <f t="shared" si="34"/>
        <v>-1609.1999999999994</v>
      </c>
      <c r="CA19" s="210">
        <f t="shared" si="35"/>
        <v>66.10426540284361</v>
      </c>
      <c r="CB19" s="252">
        <f t="shared" si="36"/>
        <v>42.85246125486447</v>
      </c>
      <c r="CC19" s="253"/>
    </row>
    <row r="20" spans="1:81" ht="12.75">
      <c r="A20" s="133" t="s">
        <v>36</v>
      </c>
      <c r="B20" s="134"/>
      <c r="C20" s="223">
        <v>570.1</v>
      </c>
      <c r="D20" s="262">
        <v>570.1</v>
      </c>
      <c r="E20" s="227">
        <v>946.7</v>
      </c>
      <c r="F20" s="210">
        <f t="shared" si="22"/>
        <v>376.6</v>
      </c>
      <c r="G20" s="288">
        <f t="shared" si="0"/>
        <v>166.0585862129451</v>
      </c>
      <c r="H20" s="250">
        <f>E20/C20%</f>
        <v>166.0585862129451</v>
      </c>
      <c r="I20" s="225">
        <v>65.9</v>
      </c>
      <c r="J20" s="262">
        <v>49.5</v>
      </c>
      <c r="K20" s="227">
        <v>49.3</v>
      </c>
      <c r="L20" s="210">
        <f t="shared" si="2"/>
        <v>-0.20000000000000284</v>
      </c>
      <c r="M20" s="251">
        <f t="shared" si="3"/>
        <v>99.59595959595958</v>
      </c>
      <c r="N20" s="250">
        <f t="shared" si="24"/>
        <v>74.81031866464339</v>
      </c>
      <c r="O20" s="223"/>
      <c r="P20" s="262"/>
      <c r="Q20" s="227"/>
      <c r="R20" s="210">
        <f t="shared" si="4"/>
        <v>0</v>
      </c>
      <c r="S20" s="251"/>
      <c r="T20" s="250"/>
      <c r="U20" s="223"/>
      <c r="V20" s="262"/>
      <c r="W20" s="227"/>
      <c r="X20" s="210">
        <f t="shared" si="6"/>
        <v>0</v>
      </c>
      <c r="Y20" s="251"/>
      <c r="Z20" s="250"/>
      <c r="AA20" s="223"/>
      <c r="AB20" s="262"/>
      <c r="AC20" s="227"/>
      <c r="AD20" s="210">
        <f t="shared" si="8"/>
        <v>0</v>
      </c>
      <c r="AE20" s="251"/>
      <c r="AF20" s="250"/>
      <c r="AG20" s="223">
        <v>26</v>
      </c>
      <c r="AH20" s="262">
        <v>20.3</v>
      </c>
      <c r="AI20" s="227">
        <v>21.8</v>
      </c>
      <c r="AJ20" s="210">
        <f t="shared" si="10"/>
        <v>1.5</v>
      </c>
      <c r="AK20" s="251">
        <f>AI20/AH20%</f>
        <v>107.38916256157636</v>
      </c>
      <c r="AL20" s="250">
        <f t="shared" si="26"/>
        <v>83.84615384615384</v>
      </c>
      <c r="AM20" s="223"/>
      <c r="AN20" s="262"/>
      <c r="AO20" s="227"/>
      <c r="AP20" s="210">
        <f t="shared" si="12"/>
        <v>0</v>
      </c>
      <c r="AQ20" s="251"/>
      <c r="AR20" s="250"/>
      <c r="AS20" s="223"/>
      <c r="AT20" s="262"/>
      <c r="AU20" s="227"/>
      <c r="AV20" s="210">
        <f t="shared" si="14"/>
        <v>0</v>
      </c>
      <c r="AW20" s="251"/>
      <c r="AX20" s="250"/>
      <c r="AY20" s="223"/>
      <c r="AZ20" s="262"/>
      <c r="BA20" s="227"/>
      <c r="BB20" s="210">
        <f t="shared" si="16"/>
        <v>0</v>
      </c>
      <c r="BC20" s="251"/>
      <c r="BD20" s="248"/>
      <c r="BE20" s="223">
        <v>39.1</v>
      </c>
      <c r="BF20" s="262">
        <v>29.8</v>
      </c>
      <c r="BG20" s="227">
        <v>20.6</v>
      </c>
      <c r="BH20" s="210">
        <f t="shared" si="17"/>
        <v>-9.2</v>
      </c>
      <c r="BI20" s="251">
        <f>BG20/BF20%</f>
        <v>69.1275167785235</v>
      </c>
      <c r="BJ20" s="250">
        <f t="shared" si="30"/>
        <v>52.68542199488491</v>
      </c>
      <c r="BK20" s="223"/>
      <c r="BL20" s="262"/>
      <c r="BM20" s="227"/>
      <c r="BN20" s="210">
        <f t="shared" si="19"/>
        <v>0</v>
      </c>
      <c r="BO20" s="251"/>
      <c r="BP20" s="250"/>
      <c r="BQ20" s="223">
        <v>868.5</v>
      </c>
      <c r="BR20" s="262">
        <v>836.7</v>
      </c>
      <c r="BS20" s="227">
        <v>888.5</v>
      </c>
      <c r="BT20" s="210">
        <f t="shared" si="32"/>
        <v>51.799999999999955</v>
      </c>
      <c r="BU20" s="251">
        <f>BS20/BR20%</f>
        <v>106.19098840683637</v>
      </c>
      <c r="BV20" s="250">
        <f t="shared" si="33"/>
        <v>102.3028209556707</v>
      </c>
      <c r="BW20" s="212">
        <f aca="true" t="shared" si="38" ref="BW20:BW34">C20+I20+O20+U20+AA20+AG20+AM20+AS20+AY20+BE20+BK20+BQ20</f>
        <v>1569.6</v>
      </c>
      <c r="BX20" s="226">
        <f t="shared" si="37"/>
        <v>1506.4</v>
      </c>
      <c r="BY20" s="145">
        <f t="shared" si="37"/>
        <v>1926.8999999999999</v>
      </c>
      <c r="BZ20" s="210">
        <f t="shared" si="34"/>
        <v>420.4999999999998</v>
      </c>
      <c r="CA20" s="210">
        <f t="shared" si="35"/>
        <v>127.91423260754115</v>
      </c>
      <c r="CB20" s="252">
        <f t="shared" si="36"/>
        <v>122.7637614678899</v>
      </c>
      <c r="CC20" s="253"/>
    </row>
    <row r="21" spans="1:81" ht="12.75">
      <c r="A21" s="133" t="s">
        <v>69</v>
      </c>
      <c r="B21" s="134"/>
      <c r="C21" s="223">
        <v>86.4</v>
      </c>
      <c r="D21" s="262">
        <v>86.4</v>
      </c>
      <c r="E21" s="227">
        <v>60.4</v>
      </c>
      <c r="F21" s="210">
        <f t="shared" si="22"/>
        <v>-26.000000000000007</v>
      </c>
      <c r="G21" s="288"/>
      <c r="H21" s="250">
        <f aca="true" t="shared" si="39" ref="H21:H26">E21/C21%</f>
        <v>69.90740740740739</v>
      </c>
      <c r="I21" s="225"/>
      <c r="J21" s="262"/>
      <c r="K21" s="227"/>
      <c r="L21" s="210">
        <f t="shared" si="2"/>
        <v>0</v>
      </c>
      <c r="M21" s="251"/>
      <c r="N21" s="250"/>
      <c r="O21" s="223"/>
      <c r="P21" s="262"/>
      <c r="Q21" s="227"/>
      <c r="R21" s="210">
        <f t="shared" si="4"/>
        <v>0</v>
      </c>
      <c r="S21" s="251"/>
      <c r="T21" s="250"/>
      <c r="U21" s="223"/>
      <c r="V21" s="262"/>
      <c r="W21" s="227"/>
      <c r="X21" s="210">
        <f t="shared" si="6"/>
        <v>0</v>
      </c>
      <c r="Y21" s="251"/>
      <c r="Z21" s="250"/>
      <c r="AA21" s="223"/>
      <c r="AB21" s="262"/>
      <c r="AC21" s="227"/>
      <c r="AD21" s="210">
        <f t="shared" si="8"/>
        <v>0</v>
      </c>
      <c r="AE21" s="251"/>
      <c r="AF21" s="250"/>
      <c r="AG21" s="223"/>
      <c r="AH21" s="262"/>
      <c r="AI21" s="227"/>
      <c r="AJ21" s="210">
        <f t="shared" si="10"/>
        <v>0</v>
      </c>
      <c r="AK21" s="251"/>
      <c r="AL21" s="250"/>
      <c r="AM21" s="223"/>
      <c r="AN21" s="262"/>
      <c r="AO21" s="227"/>
      <c r="AP21" s="210">
        <f t="shared" si="12"/>
        <v>0</v>
      </c>
      <c r="AQ21" s="251"/>
      <c r="AR21" s="250"/>
      <c r="AS21" s="223"/>
      <c r="AT21" s="262"/>
      <c r="AU21" s="227"/>
      <c r="AV21" s="210">
        <f t="shared" si="14"/>
        <v>0</v>
      </c>
      <c r="AW21" s="251"/>
      <c r="AX21" s="250"/>
      <c r="AY21" s="223"/>
      <c r="AZ21" s="262"/>
      <c r="BA21" s="227"/>
      <c r="BB21" s="210">
        <f t="shared" si="16"/>
        <v>0</v>
      </c>
      <c r="BC21" s="251"/>
      <c r="BD21" s="248"/>
      <c r="BE21" s="223"/>
      <c r="BF21" s="262"/>
      <c r="BG21" s="227"/>
      <c r="BH21" s="210">
        <f t="shared" si="17"/>
        <v>0</v>
      </c>
      <c r="BI21" s="251"/>
      <c r="BJ21" s="250"/>
      <c r="BK21" s="223"/>
      <c r="BL21" s="262"/>
      <c r="BM21" s="227"/>
      <c r="BN21" s="210">
        <f t="shared" si="19"/>
        <v>0</v>
      </c>
      <c r="BO21" s="251"/>
      <c r="BP21" s="250"/>
      <c r="BQ21" s="223"/>
      <c r="BR21" s="262"/>
      <c r="BS21" s="227"/>
      <c r="BT21" s="210">
        <f t="shared" si="32"/>
        <v>0</v>
      </c>
      <c r="BU21" s="251"/>
      <c r="BV21" s="250"/>
      <c r="BW21" s="212">
        <f t="shared" si="38"/>
        <v>86.4</v>
      </c>
      <c r="BX21" s="226">
        <f t="shared" si="37"/>
        <v>86.4</v>
      </c>
      <c r="BY21" s="145">
        <f t="shared" si="37"/>
        <v>60.4</v>
      </c>
      <c r="BZ21" s="210">
        <f t="shared" si="34"/>
        <v>-26.000000000000007</v>
      </c>
      <c r="CA21" s="210"/>
      <c r="CB21" s="252">
        <f t="shared" si="36"/>
        <v>69.90740740740739</v>
      </c>
      <c r="CC21" s="253"/>
    </row>
    <row r="22" spans="1:81" ht="12.75">
      <c r="A22" s="135" t="s">
        <v>70</v>
      </c>
      <c r="B22" s="134"/>
      <c r="C22" s="223">
        <v>850</v>
      </c>
      <c r="D22" s="262">
        <v>587.6</v>
      </c>
      <c r="E22" s="227">
        <v>385.7</v>
      </c>
      <c r="F22" s="210">
        <f t="shared" si="22"/>
        <v>-201.90000000000003</v>
      </c>
      <c r="G22" s="288">
        <f t="shared" si="0"/>
        <v>65.63989108236895</v>
      </c>
      <c r="H22" s="250">
        <f t="shared" si="39"/>
        <v>45.37647058823529</v>
      </c>
      <c r="I22" s="225">
        <v>6.9</v>
      </c>
      <c r="J22" s="262">
        <v>2.4</v>
      </c>
      <c r="K22" s="227">
        <v>2</v>
      </c>
      <c r="L22" s="210">
        <f t="shared" si="2"/>
        <v>-0.3999999999999999</v>
      </c>
      <c r="M22" s="251">
        <f t="shared" si="3"/>
        <v>83.33333333333333</v>
      </c>
      <c r="N22" s="250"/>
      <c r="O22" s="223">
        <v>180</v>
      </c>
      <c r="P22" s="262">
        <v>160.2</v>
      </c>
      <c r="Q22" s="227">
        <v>130.3</v>
      </c>
      <c r="R22" s="210">
        <f t="shared" si="4"/>
        <v>-29.899999999999977</v>
      </c>
      <c r="S22" s="251">
        <f>Q22/P22%</f>
        <v>81.33583021223473</v>
      </c>
      <c r="T22" s="250">
        <f t="shared" si="25"/>
        <v>72.3888888888889</v>
      </c>
      <c r="U22" s="223">
        <v>10.5</v>
      </c>
      <c r="V22" s="262">
        <v>6.4</v>
      </c>
      <c r="W22" s="227">
        <v>6.1</v>
      </c>
      <c r="X22" s="210">
        <f t="shared" si="6"/>
        <v>-0.3000000000000007</v>
      </c>
      <c r="Y22" s="251">
        <f t="shared" si="7"/>
        <v>95.31249999999999</v>
      </c>
      <c r="Z22" s="250">
        <f>W22/U22%</f>
        <v>58.095238095238095</v>
      </c>
      <c r="AA22" s="223"/>
      <c r="AB22" s="262"/>
      <c r="AC22" s="227"/>
      <c r="AD22" s="210">
        <f t="shared" si="8"/>
        <v>0</v>
      </c>
      <c r="AE22" s="251"/>
      <c r="AF22" s="250"/>
      <c r="AG22" s="223">
        <v>225</v>
      </c>
      <c r="AH22" s="262">
        <v>155.8</v>
      </c>
      <c r="AI22" s="227">
        <v>125.2</v>
      </c>
      <c r="AJ22" s="210">
        <f t="shared" si="10"/>
        <v>-30.60000000000001</v>
      </c>
      <c r="AK22" s="251">
        <f>AI22/AH22%</f>
        <v>80.3594351732991</v>
      </c>
      <c r="AL22" s="250">
        <f t="shared" si="26"/>
        <v>55.644444444444446</v>
      </c>
      <c r="AM22" s="223"/>
      <c r="AN22" s="262"/>
      <c r="AO22" s="227"/>
      <c r="AP22" s="210">
        <f t="shared" si="12"/>
        <v>0</v>
      </c>
      <c r="AQ22" s="251"/>
      <c r="AR22" s="250"/>
      <c r="AS22" s="223"/>
      <c r="AT22" s="262"/>
      <c r="AU22" s="227"/>
      <c r="AV22" s="210">
        <f t="shared" si="14"/>
        <v>0</v>
      </c>
      <c r="AW22" s="251"/>
      <c r="AX22" s="250"/>
      <c r="AY22" s="223">
        <v>6.7</v>
      </c>
      <c r="AZ22" s="262">
        <v>5.6</v>
      </c>
      <c r="BA22" s="227">
        <v>5</v>
      </c>
      <c r="BB22" s="210">
        <f t="shared" si="16"/>
        <v>-0.5999999999999996</v>
      </c>
      <c r="BC22" s="251">
        <f>BA22/AZ22%</f>
        <v>89.28571428571429</v>
      </c>
      <c r="BD22" s="250">
        <f t="shared" si="29"/>
        <v>74.62686567164178</v>
      </c>
      <c r="BE22" s="223"/>
      <c r="BF22" s="262"/>
      <c r="BG22" s="227"/>
      <c r="BH22" s="210">
        <f t="shared" si="17"/>
        <v>0</v>
      </c>
      <c r="BI22" s="251"/>
      <c r="BJ22" s="250"/>
      <c r="BK22" s="223">
        <v>150.5</v>
      </c>
      <c r="BL22" s="262">
        <v>117.8</v>
      </c>
      <c r="BM22" s="227">
        <v>118.4</v>
      </c>
      <c r="BN22" s="210">
        <f t="shared" si="19"/>
        <v>0.6000000000000085</v>
      </c>
      <c r="BO22" s="251">
        <f>BM22/BL22%</f>
        <v>100.50933786078099</v>
      </c>
      <c r="BP22" s="250">
        <f>BM22/BK22%</f>
        <v>78.67109634551495</v>
      </c>
      <c r="BQ22" s="223">
        <v>582.3</v>
      </c>
      <c r="BR22" s="262">
        <v>436.2</v>
      </c>
      <c r="BS22" s="227">
        <v>199.2</v>
      </c>
      <c r="BT22" s="210">
        <f t="shared" si="32"/>
        <v>-237</v>
      </c>
      <c r="BU22" s="251">
        <f>BS22/BR22%</f>
        <v>45.667125171939475</v>
      </c>
      <c r="BV22" s="250">
        <f>BS22/BQ22%</f>
        <v>34.209170530654305</v>
      </c>
      <c r="BW22" s="212">
        <f t="shared" si="38"/>
        <v>2011.9</v>
      </c>
      <c r="BX22" s="226">
        <f t="shared" si="37"/>
        <v>1472.0000000000002</v>
      </c>
      <c r="BY22" s="145">
        <f t="shared" si="37"/>
        <v>971.9000000000001</v>
      </c>
      <c r="BZ22" s="210">
        <f t="shared" si="34"/>
        <v>-500.10000000000014</v>
      </c>
      <c r="CA22" s="210">
        <f t="shared" si="35"/>
        <v>66.0258152173913</v>
      </c>
      <c r="CB22" s="252">
        <f t="shared" si="36"/>
        <v>48.30756995874547</v>
      </c>
      <c r="CC22" s="253"/>
    </row>
    <row r="23" spans="1:81" ht="12.75">
      <c r="A23" s="135" t="s">
        <v>71</v>
      </c>
      <c r="B23" s="134"/>
      <c r="C23" s="223">
        <v>2302.1</v>
      </c>
      <c r="D23" s="262">
        <v>2302.1</v>
      </c>
      <c r="E23" s="227">
        <v>2302.1</v>
      </c>
      <c r="F23" s="210">
        <f t="shared" si="22"/>
        <v>0</v>
      </c>
      <c r="G23" s="288">
        <f t="shared" si="0"/>
        <v>99.99999999999999</v>
      </c>
      <c r="H23" s="250">
        <f t="shared" si="39"/>
        <v>99.99999999999999</v>
      </c>
      <c r="I23" s="225"/>
      <c r="J23" s="262"/>
      <c r="K23" s="227"/>
      <c r="L23" s="210"/>
      <c r="M23" s="251"/>
      <c r="N23" s="250"/>
      <c r="O23" s="223"/>
      <c r="P23" s="262"/>
      <c r="Q23" s="227">
        <v>5.9</v>
      </c>
      <c r="R23" s="210">
        <f t="shared" si="4"/>
        <v>5.9</v>
      </c>
      <c r="S23" s="251"/>
      <c r="T23" s="250"/>
      <c r="U23" s="223">
        <v>14.3</v>
      </c>
      <c r="V23" s="262">
        <v>14.3</v>
      </c>
      <c r="W23" s="227"/>
      <c r="X23" s="210"/>
      <c r="Y23" s="251"/>
      <c r="Z23" s="250"/>
      <c r="AA23" s="223">
        <v>19.6</v>
      </c>
      <c r="AB23" s="262">
        <v>9.8</v>
      </c>
      <c r="AC23" s="227"/>
      <c r="AD23" s="210"/>
      <c r="AE23" s="251"/>
      <c r="AF23" s="250"/>
      <c r="AG23" s="223">
        <v>10</v>
      </c>
      <c r="AH23" s="262">
        <v>7.3</v>
      </c>
      <c r="AI23" s="227"/>
      <c r="AJ23" s="210"/>
      <c r="AK23" s="251"/>
      <c r="AL23" s="250"/>
      <c r="AM23" s="223">
        <v>8.3</v>
      </c>
      <c r="AN23" s="262">
        <v>8.3</v>
      </c>
      <c r="AO23" s="227"/>
      <c r="AP23" s="210"/>
      <c r="AQ23" s="251"/>
      <c r="AR23" s="250"/>
      <c r="AS23" s="223">
        <v>6.9</v>
      </c>
      <c r="AT23" s="262">
        <v>5.6</v>
      </c>
      <c r="AU23" s="227">
        <v>2.7</v>
      </c>
      <c r="AV23" s="210"/>
      <c r="AW23" s="251">
        <f>AU23/AT23%</f>
        <v>48.21428571428572</v>
      </c>
      <c r="AX23" s="250">
        <f t="shared" si="28"/>
        <v>39.130434782608695</v>
      </c>
      <c r="AY23" s="223"/>
      <c r="AZ23" s="262"/>
      <c r="BA23" s="227">
        <v>10.4</v>
      </c>
      <c r="BB23" s="210"/>
      <c r="BC23" s="251"/>
      <c r="BD23" s="250"/>
      <c r="BE23" s="223"/>
      <c r="BF23" s="262"/>
      <c r="BG23" s="227"/>
      <c r="BH23" s="210"/>
      <c r="BI23" s="251"/>
      <c r="BJ23" s="250"/>
      <c r="BK23" s="223">
        <v>8.5</v>
      </c>
      <c r="BL23" s="262">
        <v>8.5</v>
      </c>
      <c r="BM23" s="227">
        <v>9.5</v>
      </c>
      <c r="BN23" s="210"/>
      <c r="BO23" s="251"/>
      <c r="BP23" s="250">
        <f>BM23/BK23%</f>
        <v>111.76470588235293</v>
      </c>
      <c r="BQ23" s="223">
        <v>15.1</v>
      </c>
      <c r="BR23" s="262">
        <v>15.2</v>
      </c>
      <c r="BS23" s="227">
        <v>13.1</v>
      </c>
      <c r="BT23" s="210">
        <f t="shared" si="32"/>
        <v>-2.0999999999999996</v>
      </c>
      <c r="BU23" s="251">
        <f>BS23/BR23%</f>
        <v>86.1842105263158</v>
      </c>
      <c r="BV23" s="250">
        <f>BS23/BQ23%</f>
        <v>86.75496688741723</v>
      </c>
      <c r="BW23" s="212">
        <f t="shared" si="38"/>
        <v>2384.8</v>
      </c>
      <c r="BX23" s="226">
        <f t="shared" si="37"/>
        <v>2371.1000000000004</v>
      </c>
      <c r="BY23" s="145">
        <f t="shared" si="37"/>
        <v>2343.7</v>
      </c>
      <c r="BZ23" s="210">
        <f t="shared" si="34"/>
        <v>-27.400000000000546</v>
      </c>
      <c r="CA23" s="210">
        <f t="shared" si="35"/>
        <v>98.84441820252202</v>
      </c>
      <c r="CB23" s="252">
        <f t="shared" si="36"/>
        <v>98.27658503857764</v>
      </c>
      <c r="CC23" s="253"/>
    </row>
    <row r="24" spans="1:81" ht="12.75">
      <c r="A24" s="133" t="s">
        <v>72</v>
      </c>
      <c r="B24" s="134"/>
      <c r="C24" s="223"/>
      <c r="D24" s="262"/>
      <c r="E24" s="227">
        <v>106.8</v>
      </c>
      <c r="F24" s="210">
        <f t="shared" si="22"/>
        <v>106.8</v>
      </c>
      <c r="G24" s="288"/>
      <c r="H24" s="250"/>
      <c r="I24" s="225"/>
      <c r="J24" s="262"/>
      <c r="K24" s="227">
        <v>6.6</v>
      </c>
      <c r="L24" s="210">
        <f t="shared" si="2"/>
        <v>6.6</v>
      </c>
      <c r="M24" s="251"/>
      <c r="N24" s="250"/>
      <c r="O24" s="223"/>
      <c r="P24" s="262"/>
      <c r="Q24" s="227"/>
      <c r="R24" s="210">
        <f t="shared" si="4"/>
        <v>0</v>
      </c>
      <c r="S24" s="251"/>
      <c r="T24" s="250"/>
      <c r="U24" s="223"/>
      <c r="V24" s="262"/>
      <c r="W24" s="227"/>
      <c r="X24" s="210">
        <f t="shared" si="6"/>
        <v>0</v>
      </c>
      <c r="Y24" s="251"/>
      <c r="Z24" s="250"/>
      <c r="AA24" s="223"/>
      <c r="AB24" s="262"/>
      <c r="AC24" s="227"/>
      <c r="AD24" s="210">
        <f t="shared" si="8"/>
        <v>0</v>
      </c>
      <c r="AE24" s="251"/>
      <c r="AF24" s="250"/>
      <c r="AG24" s="223"/>
      <c r="AH24" s="262"/>
      <c r="AI24" s="227"/>
      <c r="AJ24" s="210">
        <f t="shared" si="10"/>
        <v>0</v>
      </c>
      <c r="AK24" s="251"/>
      <c r="AL24" s="250"/>
      <c r="AM24" s="223"/>
      <c r="AN24" s="262"/>
      <c r="AO24" s="227"/>
      <c r="AP24" s="210">
        <f t="shared" si="12"/>
        <v>0</v>
      </c>
      <c r="AQ24" s="251"/>
      <c r="AR24" s="250"/>
      <c r="AS24" s="223">
        <v>190</v>
      </c>
      <c r="AT24" s="262">
        <v>190</v>
      </c>
      <c r="AU24" s="227">
        <v>190</v>
      </c>
      <c r="AV24" s="210">
        <f t="shared" si="14"/>
        <v>0</v>
      </c>
      <c r="AW24" s="251">
        <f>AU24/AT24%</f>
        <v>100</v>
      </c>
      <c r="AX24" s="250">
        <f t="shared" si="28"/>
        <v>100</v>
      </c>
      <c r="AY24" s="223"/>
      <c r="AZ24" s="262"/>
      <c r="BA24" s="227"/>
      <c r="BB24" s="210">
        <f t="shared" si="16"/>
        <v>0</v>
      </c>
      <c r="BC24" s="251"/>
      <c r="BD24" s="250"/>
      <c r="BE24" s="223"/>
      <c r="BF24" s="262"/>
      <c r="BG24" s="227"/>
      <c r="BH24" s="210">
        <f t="shared" si="17"/>
        <v>0</v>
      </c>
      <c r="BI24" s="251"/>
      <c r="BJ24" s="250"/>
      <c r="BK24" s="223"/>
      <c r="BL24" s="262"/>
      <c r="BM24" s="227"/>
      <c r="BN24" s="210">
        <f t="shared" si="19"/>
        <v>0</v>
      </c>
      <c r="BO24" s="251"/>
      <c r="BP24" s="250"/>
      <c r="BQ24" s="223"/>
      <c r="BR24" s="262"/>
      <c r="BS24" s="227"/>
      <c r="BT24" s="210">
        <f t="shared" si="32"/>
        <v>0</v>
      </c>
      <c r="BU24" s="251"/>
      <c r="BV24" s="250"/>
      <c r="BW24" s="212">
        <f t="shared" si="38"/>
        <v>190</v>
      </c>
      <c r="BX24" s="226">
        <f t="shared" si="37"/>
        <v>190</v>
      </c>
      <c r="BY24" s="145">
        <f t="shared" si="37"/>
        <v>303.4</v>
      </c>
      <c r="BZ24" s="210">
        <f t="shared" si="34"/>
        <v>113.39999999999998</v>
      </c>
      <c r="CA24" s="210"/>
      <c r="CB24" s="252"/>
      <c r="CC24" s="253"/>
    </row>
    <row r="25" spans="1:81" ht="12.75">
      <c r="A25" s="136" t="s">
        <v>73</v>
      </c>
      <c r="B25" s="137"/>
      <c r="C25" s="228"/>
      <c r="D25" s="263"/>
      <c r="E25" s="229">
        <v>972.1</v>
      </c>
      <c r="F25" s="210">
        <f t="shared" si="22"/>
        <v>972.1</v>
      </c>
      <c r="G25" s="288"/>
      <c r="H25" s="250"/>
      <c r="I25" s="230"/>
      <c r="J25" s="263"/>
      <c r="K25" s="229">
        <v>116.9</v>
      </c>
      <c r="L25" s="210">
        <f t="shared" si="2"/>
        <v>116.9</v>
      </c>
      <c r="M25" s="251"/>
      <c r="N25" s="250"/>
      <c r="O25" s="228"/>
      <c r="P25" s="263"/>
      <c r="Q25" s="229"/>
      <c r="R25" s="210">
        <f t="shared" si="4"/>
        <v>0</v>
      </c>
      <c r="S25" s="251"/>
      <c r="T25" s="250"/>
      <c r="U25" s="228"/>
      <c r="V25" s="263"/>
      <c r="W25" s="229"/>
      <c r="X25" s="210">
        <f t="shared" si="6"/>
        <v>0</v>
      </c>
      <c r="Y25" s="251"/>
      <c r="Z25" s="250"/>
      <c r="AA25" s="228"/>
      <c r="AB25" s="263"/>
      <c r="AC25" s="229"/>
      <c r="AD25" s="210">
        <f t="shared" si="8"/>
        <v>0</v>
      </c>
      <c r="AE25" s="251"/>
      <c r="AF25" s="250"/>
      <c r="AG25" s="228"/>
      <c r="AH25" s="263"/>
      <c r="AI25" s="229"/>
      <c r="AJ25" s="210">
        <f t="shared" si="10"/>
        <v>0</v>
      </c>
      <c r="AK25" s="251"/>
      <c r="AL25" s="250"/>
      <c r="AM25" s="228"/>
      <c r="AN25" s="263"/>
      <c r="AO25" s="229"/>
      <c r="AP25" s="210">
        <f t="shared" si="12"/>
        <v>0</v>
      </c>
      <c r="AQ25" s="251"/>
      <c r="AR25" s="250"/>
      <c r="AS25" s="228">
        <v>1000</v>
      </c>
      <c r="AT25" s="263">
        <v>1000</v>
      </c>
      <c r="AU25" s="229">
        <v>6555</v>
      </c>
      <c r="AV25" s="210">
        <f t="shared" si="14"/>
        <v>5555</v>
      </c>
      <c r="AW25" s="251">
        <f>AU25/AT25%</f>
        <v>655.5</v>
      </c>
      <c r="AX25" s="250">
        <f t="shared" si="28"/>
        <v>655.5</v>
      </c>
      <c r="AY25" s="228"/>
      <c r="AZ25" s="263"/>
      <c r="BA25" s="229">
        <v>866.1</v>
      </c>
      <c r="BB25" s="210">
        <f t="shared" si="16"/>
        <v>866.1</v>
      </c>
      <c r="BC25" s="251"/>
      <c r="BD25" s="250"/>
      <c r="BE25" s="228"/>
      <c r="BF25" s="263"/>
      <c r="BG25" s="229"/>
      <c r="BH25" s="210">
        <f t="shared" si="17"/>
        <v>0</v>
      </c>
      <c r="BI25" s="251"/>
      <c r="BJ25" s="250"/>
      <c r="BK25" s="228"/>
      <c r="BL25" s="263"/>
      <c r="BM25" s="229"/>
      <c r="BN25" s="210">
        <f t="shared" si="19"/>
        <v>0</v>
      </c>
      <c r="BO25" s="251"/>
      <c r="BP25" s="250"/>
      <c r="BQ25" s="228"/>
      <c r="BR25" s="263"/>
      <c r="BS25" s="229">
        <v>3.3</v>
      </c>
      <c r="BT25" s="210">
        <f t="shared" si="32"/>
        <v>3.3</v>
      </c>
      <c r="BU25" s="251"/>
      <c r="BV25" s="250"/>
      <c r="BW25" s="212">
        <f t="shared" si="38"/>
        <v>1000</v>
      </c>
      <c r="BX25" s="226">
        <f t="shared" si="37"/>
        <v>1000</v>
      </c>
      <c r="BY25" s="145">
        <f t="shared" si="37"/>
        <v>8513.4</v>
      </c>
      <c r="BZ25" s="210">
        <f t="shared" si="34"/>
        <v>7513.4</v>
      </c>
      <c r="CA25" s="210"/>
      <c r="CB25" s="252"/>
      <c r="CC25" s="253"/>
    </row>
    <row r="26" spans="1:81" ht="12.75">
      <c r="A26" s="135" t="s">
        <v>104</v>
      </c>
      <c r="B26" s="138"/>
      <c r="C26" s="208">
        <v>206.7</v>
      </c>
      <c r="D26" s="118">
        <v>153.1</v>
      </c>
      <c r="E26" s="209">
        <v>143.7</v>
      </c>
      <c r="F26" s="210">
        <f t="shared" si="22"/>
        <v>-9.400000000000006</v>
      </c>
      <c r="G26" s="288">
        <f t="shared" si="0"/>
        <v>93.8602220770738</v>
      </c>
      <c r="H26" s="250">
        <f t="shared" si="39"/>
        <v>69.52104499274311</v>
      </c>
      <c r="I26" s="211">
        <v>4</v>
      </c>
      <c r="J26" s="118">
        <v>2.4</v>
      </c>
      <c r="K26" s="209">
        <v>1</v>
      </c>
      <c r="L26" s="210">
        <f t="shared" si="2"/>
        <v>-1.4</v>
      </c>
      <c r="M26" s="251">
        <f t="shared" si="3"/>
        <v>41.666666666666664</v>
      </c>
      <c r="N26" s="250"/>
      <c r="O26" s="208">
        <v>16.6</v>
      </c>
      <c r="P26" s="118">
        <v>2.8</v>
      </c>
      <c r="Q26" s="209">
        <v>2.7</v>
      </c>
      <c r="R26" s="210">
        <f t="shared" si="4"/>
        <v>-0.09999999999999964</v>
      </c>
      <c r="S26" s="251"/>
      <c r="T26" s="250">
        <f t="shared" si="25"/>
        <v>16.265060240963855</v>
      </c>
      <c r="U26" s="208">
        <v>10.4</v>
      </c>
      <c r="V26" s="118">
        <v>4.9</v>
      </c>
      <c r="W26" s="209"/>
      <c r="X26" s="210">
        <f t="shared" si="6"/>
        <v>-4.9</v>
      </c>
      <c r="Y26" s="251"/>
      <c r="Z26" s="250"/>
      <c r="AA26" s="208">
        <v>5.6</v>
      </c>
      <c r="AB26" s="118">
        <v>5.6</v>
      </c>
      <c r="AC26" s="209"/>
      <c r="AD26" s="210">
        <f t="shared" si="8"/>
        <v>-5.6</v>
      </c>
      <c r="AE26" s="251"/>
      <c r="AF26" s="250"/>
      <c r="AG26" s="208">
        <v>19.7</v>
      </c>
      <c r="AH26" s="118">
        <v>12</v>
      </c>
      <c r="AI26" s="209">
        <v>14.3</v>
      </c>
      <c r="AJ26" s="210">
        <f t="shared" si="10"/>
        <v>2.3000000000000007</v>
      </c>
      <c r="AK26" s="251"/>
      <c r="AL26" s="250"/>
      <c r="AM26" s="208">
        <v>1.3</v>
      </c>
      <c r="AN26" s="118">
        <v>0.7</v>
      </c>
      <c r="AO26" s="209"/>
      <c r="AP26" s="210">
        <f t="shared" si="12"/>
        <v>-0.7</v>
      </c>
      <c r="AQ26" s="251"/>
      <c r="AR26" s="250"/>
      <c r="AS26" s="208">
        <v>102.7</v>
      </c>
      <c r="AT26" s="118">
        <v>102.2</v>
      </c>
      <c r="AU26" s="209">
        <v>100.2</v>
      </c>
      <c r="AV26" s="210">
        <f t="shared" si="14"/>
        <v>-2</v>
      </c>
      <c r="AW26" s="251">
        <f>AU26/AT26%</f>
        <v>98.04305283757338</v>
      </c>
      <c r="AX26" s="250">
        <f t="shared" si="28"/>
        <v>97.56572541382667</v>
      </c>
      <c r="AY26" s="208">
        <v>7.9</v>
      </c>
      <c r="AZ26" s="118">
        <v>1</v>
      </c>
      <c r="BA26" s="209">
        <v>17.5</v>
      </c>
      <c r="BB26" s="210">
        <f t="shared" si="16"/>
        <v>16.5</v>
      </c>
      <c r="BC26" s="251">
        <f>BA26/AZ26%</f>
        <v>1750</v>
      </c>
      <c r="BD26" s="250">
        <f t="shared" si="29"/>
        <v>221.51898734177215</v>
      </c>
      <c r="BE26" s="208">
        <v>6.2</v>
      </c>
      <c r="BF26" s="118">
        <v>6.2</v>
      </c>
      <c r="BG26" s="209"/>
      <c r="BH26" s="210">
        <f t="shared" si="17"/>
        <v>-6.2</v>
      </c>
      <c r="BI26" s="251"/>
      <c r="BJ26" s="250"/>
      <c r="BK26" s="208">
        <v>18.5</v>
      </c>
      <c r="BL26" s="118">
        <v>18.5</v>
      </c>
      <c r="BM26" s="209">
        <v>37.5</v>
      </c>
      <c r="BN26" s="210">
        <f t="shared" si="19"/>
        <v>19</v>
      </c>
      <c r="BO26" s="251">
        <f>BM26/BL26%</f>
        <v>202.7027027027027</v>
      </c>
      <c r="BP26" s="250">
        <f>BM26/BK26%</f>
        <v>202.7027027027027</v>
      </c>
      <c r="BQ26" s="208">
        <v>93</v>
      </c>
      <c r="BR26" s="118">
        <v>47.6</v>
      </c>
      <c r="BS26" s="209">
        <v>45.8</v>
      </c>
      <c r="BT26" s="210">
        <f t="shared" si="32"/>
        <v>-1.8000000000000043</v>
      </c>
      <c r="BU26" s="251">
        <f>BS26/BR26%</f>
        <v>96.21848739495798</v>
      </c>
      <c r="BV26" s="250">
        <f>BS26/BQ26%</f>
        <v>49.247311827956985</v>
      </c>
      <c r="BW26" s="212">
        <f t="shared" si="38"/>
        <v>492.59999999999997</v>
      </c>
      <c r="BX26" s="226">
        <f t="shared" si="37"/>
        <v>357</v>
      </c>
      <c r="BY26" s="226">
        <f t="shared" si="37"/>
        <v>362.7</v>
      </c>
      <c r="BZ26" s="210">
        <f t="shared" si="34"/>
        <v>5.699999999999989</v>
      </c>
      <c r="CA26" s="210"/>
      <c r="CB26" s="252"/>
      <c r="CC26" s="139"/>
    </row>
    <row r="27" spans="1:81" ht="12.75">
      <c r="A27" s="135" t="s">
        <v>105</v>
      </c>
      <c r="B27" s="138"/>
      <c r="C27" s="208"/>
      <c r="D27" s="118"/>
      <c r="E27" s="209">
        <v>565.7</v>
      </c>
      <c r="F27" s="210">
        <f t="shared" si="22"/>
        <v>565.7</v>
      </c>
      <c r="G27" s="206"/>
      <c r="H27" s="250"/>
      <c r="I27" s="211"/>
      <c r="J27" s="118"/>
      <c r="K27" s="209"/>
      <c r="L27" s="210">
        <f t="shared" si="2"/>
        <v>0</v>
      </c>
      <c r="M27" s="251"/>
      <c r="N27" s="250"/>
      <c r="O27" s="208"/>
      <c r="P27" s="118"/>
      <c r="Q27" s="209"/>
      <c r="R27" s="210">
        <f t="shared" si="4"/>
        <v>0</v>
      </c>
      <c r="S27" s="251"/>
      <c r="T27" s="250"/>
      <c r="U27" s="208"/>
      <c r="V27" s="118"/>
      <c r="W27" s="209"/>
      <c r="X27" s="210">
        <f t="shared" si="6"/>
        <v>0</v>
      </c>
      <c r="Y27" s="251"/>
      <c r="Z27" s="250"/>
      <c r="AA27" s="208"/>
      <c r="AB27" s="118"/>
      <c r="AC27" s="209"/>
      <c r="AD27" s="210">
        <f t="shared" si="8"/>
        <v>0</v>
      </c>
      <c r="AE27" s="251"/>
      <c r="AF27" s="250"/>
      <c r="AG27" s="208"/>
      <c r="AH27" s="118"/>
      <c r="AI27" s="209"/>
      <c r="AJ27" s="210">
        <f t="shared" si="10"/>
        <v>0</v>
      </c>
      <c r="AK27" s="251"/>
      <c r="AL27" s="250"/>
      <c r="AM27" s="208"/>
      <c r="AN27" s="118"/>
      <c r="AO27" s="209"/>
      <c r="AP27" s="210">
        <f t="shared" si="12"/>
        <v>0</v>
      </c>
      <c r="AQ27" s="251"/>
      <c r="AR27" s="250"/>
      <c r="AS27" s="208"/>
      <c r="AT27" s="118"/>
      <c r="AU27" s="209"/>
      <c r="AV27" s="210">
        <f t="shared" si="14"/>
        <v>0</v>
      </c>
      <c r="AW27" s="251"/>
      <c r="AX27" s="248"/>
      <c r="AY27" s="208"/>
      <c r="AZ27" s="118"/>
      <c r="BA27" s="209"/>
      <c r="BB27" s="210">
        <f t="shared" si="16"/>
        <v>0</v>
      </c>
      <c r="BC27" s="251"/>
      <c r="BD27" s="248"/>
      <c r="BE27" s="208"/>
      <c r="BF27" s="118"/>
      <c r="BG27" s="209"/>
      <c r="BH27" s="210">
        <f t="shared" si="17"/>
        <v>0</v>
      </c>
      <c r="BI27" s="251"/>
      <c r="BJ27" s="250"/>
      <c r="BK27" s="208">
        <v>0.8</v>
      </c>
      <c r="BL27" s="118">
        <v>0.8</v>
      </c>
      <c r="BM27" s="209">
        <v>-1.8</v>
      </c>
      <c r="BN27" s="210">
        <f t="shared" si="19"/>
        <v>-2.6</v>
      </c>
      <c r="BO27" s="251">
        <f>BM27/BL27%</f>
        <v>-225</v>
      </c>
      <c r="BP27" s="250">
        <f>BM27/BK27%</f>
        <v>-225</v>
      </c>
      <c r="BQ27" s="208">
        <v>111.5</v>
      </c>
      <c r="BR27" s="118">
        <v>87.7</v>
      </c>
      <c r="BS27" s="209">
        <v>82.9</v>
      </c>
      <c r="BT27" s="210">
        <f t="shared" si="32"/>
        <v>-4.799999999999997</v>
      </c>
      <c r="BU27" s="251">
        <f>BS27/BR27%</f>
        <v>94.52679589509692</v>
      </c>
      <c r="BV27" s="250">
        <f>BS27/BQ27%</f>
        <v>74.34977578475336</v>
      </c>
      <c r="BW27" s="212">
        <f t="shared" si="38"/>
        <v>112.3</v>
      </c>
      <c r="BX27" s="226">
        <f t="shared" si="37"/>
        <v>88.5</v>
      </c>
      <c r="BY27" s="226">
        <f t="shared" si="37"/>
        <v>646.8000000000001</v>
      </c>
      <c r="BZ27" s="210">
        <f t="shared" si="34"/>
        <v>558.3000000000001</v>
      </c>
      <c r="CA27" s="210">
        <f t="shared" si="35"/>
        <v>730.8474576271187</v>
      </c>
      <c r="CB27" s="252">
        <f t="shared" si="36"/>
        <v>575.9572573463937</v>
      </c>
      <c r="CC27" s="139"/>
    </row>
    <row r="28" spans="1:80" s="207" customFormat="1" ht="12.75">
      <c r="A28" s="201" t="s">
        <v>74</v>
      </c>
      <c r="B28" s="202"/>
      <c r="C28" s="203">
        <f>SUM(C29:C33)</f>
        <v>222816.40000000002</v>
      </c>
      <c r="D28" s="204">
        <f>SUM(D29:D33)</f>
        <v>152816.3</v>
      </c>
      <c r="E28" s="205">
        <f>SUM(E29:E33)</f>
        <v>64195.8</v>
      </c>
      <c r="F28" s="204">
        <f>E28-D28</f>
        <v>-88620.49999999999</v>
      </c>
      <c r="G28" s="206">
        <f t="shared" si="0"/>
        <v>42.0084768444204</v>
      </c>
      <c r="H28" s="248">
        <f aca="true" t="shared" si="40" ref="H28:H34">E28/C28%</f>
        <v>28.81107494780456</v>
      </c>
      <c r="I28" s="205">
        <f>SUM(I29:I33)</f>
        <v>13037.3</v>
      </c>
      <c r="J28" s="204">
        <f>SUM(J29:J33)</f>
        <v>12794.2</v>
      </c>
      <c r="K28" s="205">
        <f>SUM(K29:K33)</f>
        <v>8969.5</v>
      </c>
      <c r="L28" s="204">
        <f>K28-J28</f>
        <v>-3824.7000000000007</v>
      </c>
      <c r="M28" s="206">
        <f>K28/J28%</f>
        <v>70.10598552469087</v>
      </c>
      <c r="N28" s="248">
        <f t="shared" si="24"/>
        <v>68.79875434330728</v>
      </c>
      <c r="O28" s="203">
        <f>SUM(O29:O33)</f>
        <v>102897.40000000001</v>
      </c>
      <c r="P28" s="204">
        <f>SUM(P29:P33)</f>
        <v>84330.2</v>
      </c>
      <c r="Q28" s="205">
        <f>SUM(Q29:Q33)</f>
        <v>31649</v>
      </c>
      <c r="R28" s="204">
        <f>Q28-P28</f>
        <v>-52681.2</v>
      </c>
      <c r="S28" s="206">
        <f>Q28/P28%</f>
        <v>37.529852887814805</v>
      </c>
      <c r="T28" s="248">
        <f t="shared" si="25"/>
        <v>30.757822841004725</v>
      </c>
      <c r="U28" s="203">
        <f>SUM(U29:U33)</f>
        <v>3055.7</v>
      </c>
      <c r="V28" s="204">
        <f>SUM(V29:V33)</f>
        <v>1301</v>
      </c>
      <c r="W28" s="205">
        <f>SUM(W29:W33)</f>
        <v>1943.5</v>
      </c>
      <c r="X28" s="204">
        <f t="shared" si="6"/>
        <v>642.5</v>
      </c>
      <c r="Y28" s="206">
        <f>W28/V28%</f>
        <v>149.38508839354344</v>
      </c>
      <c r="Z28" s="248">
        <f>W28/U28%</f>
        <v>63.60244788428184</v>
      </c>
      <c r="AA28" s="203">
        <f>SUM(AA29:AA33)</f>
        <v>11183.1</v>
      </c>
      <c r="AB28" s="204">
        <f>SUM(AB29:AB33)</f>
        <v>7087.2</v>
      </c>
      <c r="AC28" s="205">
        <f>SUM(AC29:AC33)</f>
        <v>6936.2</v>
      </c>
      <c r="AD28" s="204">
        <f t="shared" si="8"/>
        <v>-151</v>
      </c>
      <c r="AE28" s="206"/>
      <c r="AF28" s="248">
        <f>AC28/AA28%</f>
        <v>62.02394684836941</v>
      </c>
      <c r="AG28" s="203">
        <f>SUM(AG29:AG33)</f>
        <v>37240.600000000006</v>
      </c>
      <c r="AH28" s="204">
        <f>SUM(AH29:AH33)</f>
        <v>14668.2</v>
      </c>
      <c r="AI28" s="205">
        <f>SUM(AI29:AI33)</f>
        <v>14668.2</v>
      </c>
      <c r="AJ28" s="204">
        <f t="shared" si="10"/>
        <v>0</v>
      </c>
      <c r="AK28" s="206">
        <f>AI28/AH28%</f>
        <v>100</v>
      </c>
      <c r="AL28" s="248">
        <f t="shared" si="26"/>
        <v>39.387657556537754</v>
      </c>
      <c r="AM28" s="203">
        <f>SUM(AM29:AM33)</f>
        <v>10234.8</v>
      </c>
      <c r="AN28" s="204">
        <f>SUM(AN29:AN33)</f>
        <v>8794.699999999999</v>
      </c>
      <c r="AO28" s="205">
        <f>SUM(AO29:AO33)</f>
        <v>7800.8</v>
      </c>
      <c r="AP28" s="204">
        <f t="shared" si="12"/>
        <v>-993.8999999999987</v>
      </c>
      <c r="AQ28" s="206">
        <f aca="true" t="shared" si="41" ref="AQ28:AQ34">AO28/AN28%</f>
        <v>88.69887545908333</v>
      </c>
      <c r="AR28" s="248">
        <f t="shared" si="27"/>
        <v>76.21839215226483</v>
      </c>
      <c r="AS28" s="203">
        <f>SUM(AS29:AS33)</f>
        <v>27202.5</v>
      </c>
      <c r="AT28" s="204">
        <f>SUM(AT29:AT33)</f>
        <v>27019.1</v>
      </c>
      <c r="AU28" s="205">
        <f>SUM(AU29:AU33)</f>
        <v>8700.9</v>
      </c>
      <c r="AV28" s="204">
        <f t="shared" si="14"/>
        <v>-18318.199999999997</v>
      </c>
      <c r="AW28" s="206">
        <f aca="true" t="shared" si="42" ref="AW28:AW34">AU28/AT28%</f>
        <v>32.20277507392918</v>
      </c>
      <c r="AX28" s="248">
        <f t="shared" si="28"/>
        <v>31.985663082437277</v>
      </c>
      <c r="AY28" s="203">
        <f>SUM(AY29:AY33)</f>
        <v>8414.9</v>
      </c>
      <c r="AZ28" s="204">
        <f>SUM(AZ29:AZ33)</f>
        <v>3573.5</v>
      </c>
      <c r="BA28" s="205">
        <f>SUM(BA29:BA33)</f>
        <v>4342.299999999999</v>
      </c>
      <c r="BB28" s="204">
        <f t="shared" si="16"/>
        <v>768.7999999999993</v>
      </c>
      <c r="BC28" s="206">
        <f>BA28/AZ28%</f>
        <v>121.51392192528331</v>
      </c>
      <c r="BD28" s="248">
        <f t="shared" si="29"/>
        <v>51.60251458722028</v>
      </c>
      <c r="BE28" s="203">
        <f>SUM(BE29:BE33)</f>
        <v>7441.1</v>
      </c>
      <c r="BF28" s="204">
        <f>SUM(BF29:BF33)</f>
        <v>4520.200000000001</v>
      </c>
      <c r="BG28" s="205">
        <f>SUM(BG29:BG33)</f>
        <v>4622.5</v>
      </c>
      <c r="BH28" s="204">
        <f>BG28-BF28</f>
        <v>102.29999999999927</v>
      </c>
      <c r="BI28" s="206">
        <f>BG28/BF28%</f>
        <v>102.26317419583204</v>
      </c>
      <c r="BJ28" s="248">
        <f t="shared" si="30"/>
        <v>62.1211917592829</v>
      </c>
      <c r="BK28" s="203">
        <f>SUM(BK29:BK33)</f>
        <v>51942</v>
      </c>
      <c r="BL28" s="204">
        <f>SUM(BL29:BL33)</f>
        <v>18035.6</v>
      </c>
      <c r="BM28" s="205">
        <f>SUM(BM29:BM33)</f>
        <v>13169.1</v>
      </c>
      <c r="BN28" s="204">
        <f>BM28-BL28</f>
        <v>-4866.499999999998</v>
      </c>
      <c r="BO28" s="206">
        <f>BM28/BL28%</f>
        <v>73.01725476280247</v>
      </c>
      <c r="BP28" s="248">
        <f t="shared" si="31"/>
        <v>25.3534711793924</v>
      </c>
      <c r="BQ28" s="203">
        <f>SUM(BQ29:BQ33)</f>
        <v>83978.2</v>
      </c>
      <c r="BR28" s="204">
        <f>SUM(BR29:BR33)</f>
        <v>21486.5</v>
      </c>
      <c r="BS28" s="205">
        <f>SUM(BS29:BS33)</f>
        <v>21486.5</v>
      </c>
      <c r="BT28" s="204"/>
      <c r="BU28" s="206"/>
      <c r="BV28" s="248">
        <f t="shared" si="33"/>
        <v>25.585806792715253</v>
      </c>
      <c r="BW28" s="203">
        <f t="shared" si="38"/>
        <v>579444</v>
      </c>
      <c r="BX28" s="264">
        <f t="shared" si="37"/>
        <v>356426.7</v>
      </c>
      <c r="BY28" s="264">
        <f t="shared" si="37"/>
        <v>188484.3</v>
      </c>
      <c r="BZ28" s="204">
        <f>BY28-BX28</f>
        <v>-167942.40000000002</v>
      </c>
      <c r="CA28" s="204">
        <f>BY28/BX28%</f>
        <v>52.88164438859378</v>
      </c>
      <c r="CB28" s="249">
        <f t="shared" si="36"/>
        <v>32.52847557313563</v>
      </c>
    </row>
    <row r="29" spans="1:80" s="132" customFormat="1" ht="12.75">
      <c r="A29" s="140" t="s">
        <v>75</v>
      </c>
      <c r="B29" s="141"/>
      <c r="C29" s="208">
        <v>31555.5</v>
      </c>
      <c r="D29" s="118">
        <v>31555.5</v>
      </c>
      <c r="E29" s="209">
        <v>29009.3</v>
      </c>
      <c r="F29" s="210">
        <f t="shared" si="22"/>
        <v>-2546.2000000000007</v>
      </c>
      <c r="G29" s="288">
        <f t="shared" si="0"/>
        <v>91.93104213211643</v>
      </c>
      <c r="H29" s="250">
        <f t="shared" si="40"/>
        <v>91.93104213211643</v>
      </c>
      <c r="I29" s="211">
        <v>10574.8</v>
      </c>
      <c r="J29" s="118">
        <v>10574.8</v>
      </c>
      <c r="K29" s="209">
        <v>8125</v>
      </c>
      <c r="L29" s="210">
        <f>K29-J29</f>
        <v>-2449.7999999999993</v>
      </c>
      <c r="M29" s="251">
        <f>K29/J29%</f>
        <v>76.83360441805047</v>
      </c>
      <c r="N29" s="250">
        <f t="shared" si="24"/>
        <v>76.83360441805047</v>
      </c>
      <c r="O29" s="208">
        <v>24897.6</v>
      </c>
      <c r="P29" s="118">
        <v>22410</v>
      </c>
      <c r="Q29" s="209">
        <v>17430</v>
      </c>
      <c r="R29" s="210">
        <f t="shared" si="4"/>
        <v>-4980</v>
      </c>
      <c r="S29" s="251">
        <f>Q29/P29%</f>
        <v>77.77777777777779</v>
      </c>
      <c r="T29" s="250">
        <f t="shared" si="25"/>
        <v>70.00674763832659</v>
      </c>
      <c r="U29" s="208">
        <v>1856.4</v>
      </c>
      <c r="V29" s="118">
        <v>840</v>
      </c>
      <c r="W29" s="209">
        <v>1182</v>
      </c>
      <c r="X29" s="210">
        <f t="shared" si="6"/>
        <v>342</v>
      </c>
      <c r="Y29" s="251">
        <f>W29/V29%</f>
        <v>140.71428571428572</v>
      </c>
      <c r="Z29" s="250">
        <f>W29/U29%</f>
        <v>63.67162249515191</v>
      </c>
      <c r="AA29" s="208">
        <v>6257.1</v>
      </c>
      <c r="AB29" s="118">
        <v>5749.8</v>
      </c>
      <c r="AC29" s="209">
        <v>4363.2</v>
      </c>
      <c r="AD29" s="210">
        <f t="shared" si="8"/>
        <v>-1386.6000000000004</v>
      </c>
      <c r="AE29" s="251">
        <f>AC29/AB29%</f>
        <v>75.88437858708129</v>
      </c>
      <c r="AF29" s="250">
        <f>AC29/AA29%</f>
        <v>69.73198446564702</v>
      </c>
      <c r="AG29" s="208">
        <v>14299.7</v>
      </c>
      <c r="AH29" s="118">
        <v>8441.1</v>
      </c>
      <c r="AI29" s="209">
        <v>8441.1</v>
      </c>
      <c r="AJ29" s="210">
        <f t="shared" si="10"/>
        <v>0</v>
      </c>
      <c r="AK29" s="251">
        <f>AI29/AH29%</f>
        <v>100</v>
      </c>
      <c r="AL29" s="250">
        <f t="shared" si="26"/>
        <v>59.029909718385696</v>
      </c>
      <c r="AM29" s="208">
        <v>8053.2</v>
      </c>
      <c r="AN29" s="118">
        <v>7247.9</v>
      </c>
      <c r="AO29" s="209">
        <v>6442.6</v>
      </c>
      <c r="AP29" s="210">
        <f t="shared" si="12"/>
        <v>-805.2999999999993</v>
      </c>
      <c r="AQ29" s="251">
        <f t="shared" si="41"/>
        <v>88.88919549110777</v>
      </c>
      <c r="AR29" s="250">
        <f t="shared" si="27"/>
        <v>80.00049669696519</v>
      </c>
      <c r="AS29" s="208">
        <v>8752.4</v>
      </c>
      <c r="AT29" s="118">
        <v>8752.4</v>
      </c>
      <c r="AU29" s="209">
        <v>6885.2</v>
      </c>
      <c r="AV29" s="210">
        <f t="shared" si="14"/>
        <v>-1867.1999999999998</v>
      </c>
      <c r="AW29" s="251">
        <f t="shared" si="42"/>
        <v>78.66642292399798</v>
      </c>
      <c r="AX29" s="250">
        <f t="shared" si="28"/>
        <v>78.66642292399798</v>
      </c>
      <c r="AY29" s="208">
        <v>4550.9</v>
      </c>
      <c r="AZ29" s="118">
        <v>2503</v>
      </c>
      <c r="BA29" s="209">
        <v>3185.7</v>
      </c>
      <c r="BB29" s="210">
        <f t="shared" si="16"/>
        <v>682.6999999999998</v>
      </c>
      <c r="BC29" s="251">
        <f>BA29/AZ29%</f>
        <v>127.27526967638832</v>
      </c>
      <c r="BD29" s="248">
        <f t="shared" si="29"/>
        <v>70.00153815728757</v>
      </c>
      <c r="BE29" s="208">
        <v>5893.1</v>
      </c>
      <c r="BF29" s="118">
        <v>3799.9</v>
      </c>
      <c r="BG29" s="209">
        <v>4191.9</v>
      </c>
      <c r="BH29" s="210">
        <f t="shared" si="17"/>
        <v>391.99999999999955</v>
      </c>
      <c r="BI29" s="251">
        <f>BG29/BF29%</f>
        <v>110.31606094897232</v>
      </c>
      <c r="BJ29" s="250">
        <f t="shared" si="30"/>
        <v>71.13234121260456</v>
      </c>
      <c r="BK29" s="208">
        <v>16720.8</v>
      </c>
      <c r="BL29" s="118">
        <v>13878</v>
      </c>
      <c r="BM29" s="209">
        <v>10645.5</v>
      </c>
      <c r="BN29" s="210">
        <f t="shared" si="19"/>
        <v>-3232.5</v>
      </c>
      <c r="BO29" s="251">
        <f>BM29/BL29%</f>
        <v>76.70773886727194</v>
      </c>
      <c r="BP29" s="250">
        <f t="shared" si="31"/>
        <v>63.666212142959665</v>
      </c>
      <c r="BQ29" s="208">
        <v>16517.6</v>
      </c>
      <c r="BR29" s="118">
        <v>9935.9</v>
      </c>
      <c r="BS29" s="209">
        <v>9935.9</v>
      </c>
      <c r="BT29" s="210"/>
      <c r="BU29" s="251"/>
      <c r="BV29" s="250">
        <f t="shared" si="33"/>
        <v>60.153412117983244</v>
      </c>
      <c r="BW29" s="212">
        <f t="shared" si="38"/>
        <v>149929.09999999998</v>
      </c>
      <c r="BX29" s="145">
        <f t="shared" si="37"/>
        <v>125688.29999999999</v>
      </c>
      <c r="BY29" s="145">
        <f t="shared" si="37"/>
        <v>109837.4</v>
      </c>
      <c r="BZ29" s="144">
        <f>BY29-BX29</f>
        <v>-15850.899999999994</v>
      </c>
      <c r="CA29" s="210">
        <f>BY29/BX29%</f>
        <v>87.38872273712033</v>
      </c>
      <c r="CB29" s="252">
        <f t="shared" si="36"/>
        <v>73.25956068568411</v>
      </c>
    </row>
    <row r="30" spans="1:80" s="132" customFormat="1" ht="12.75">
      <c r="A30" s="142" t="s">
        <v>106</v>
      </c>
      <c r="B30" s="141"/>
      <c r="C30" s="208">
        <v>1655</v>
      </c>
      <c r="D30" s="118">
        <v>1655</v>
      </c>
      <c r="E30" s="209">
        <v>1655</v>
      </c>
      <c r="F30" s="210">
        <f t="shared" si="22"/>
        <v>0</v>
      </c>
      <c r="G30" s="288">
        <f t="shared" si="0"/>
        <v>100</v>
      </c>
      <c r="H30" s="250">
        <f t="shared" si="40"/>
        <v>100</v>
      </c>
      <c r="I30" s="211"/>
      <c r="J30" s="118"/>
      <c r="K30" s="209"/>
      <c r="L30" s="210"/>
      <c r="M30" s="251"/>
      <c r="N30" s="250"/>
      <c r="O30" s="208"/>
      <c r="P30" s="118"/>
      <c r="Q30" s="209"/>
      <c r="R30" s="210">
        <f t="shared" si="4"/>
        <v>0</v>
      </c>
      <c r="S30" s="251"/>
      <c r="T30" s="250"/>
      <c r="U30" s="208"/>
      <c r="V30" s="118"/>
      <c r="W30" s="209"/>
      <c r="X30" s="210"/>
      <c r="Y30" s="251"/>
      <c r="Z30" s="250"/>
      <c r="AA30" s="208"/>
      <c r="AB30" s="118"/>
      <c r="AC30" s="209"/>
      <c r="AD30" s="210"/>
      <c r="AE30" s="251"/>
      <c r="AF30" s="250"/>
      <c r="AG30" s="208"/>
      <c r="AH30" s="118"/>
      <c r="AI30" s="209"/>
      <c r="AJ30" s="210"/>
      <c r="AK30" s="251"/>
      <c r="AL30" s="250"/>
      <c r="AM30" s="208"/>
      <c r="AN30" s="118"/>
      <c r="AO30" s="209"/>
      <c r="AP30" s="210"/>
      <c r="AQ30" s="251"/>
      <c r="AR30" s="250"/>
      <c r="AS30" s="208"/>
      <c r="AT30" s="118"/>
      <c r="AU30" s="209"/>
      <c r="AV30" s="210"/>
      <c r="AW30" s="251"/>
      <c r="AX30" s="250"/>
      <c r="AY30" s="208"/>
      <c r="AZ30" s="118"/>
      <c r="BA30" s="209"/>
      <c r="BB30" s="210">
        <f t="shared" si="16"/>
        <v>0</v>
      </c>
      <c r="BC30" s="251"/>
      <c r="BD30" s="248"/>
      <c r="BE30" s="208"/>
      <c r="BF30" s="118"/>
      <c r="BG30" s="209"/>
      <c r="BH30" s="210"/>
      <c r="BI30" s="251"/>
      <c r="BJ30" s="250"/>
      <c r="BK30" s="208"/>
      <c r="BL30" s="118"/>
      <c r="BM30" s="209"/>
      <c r="BN30" s="210"/>
      <c r="BO30" s="251"/>
      <c r="BP30" s="250"/>
      <c r="BQ30" s="208"/>
      <c r="BR30" s="118"/>
      <c r="BS30" s="209"/>
      <c r="BT30" s="210"/>
      <c r="BU30" s="251"/>
      <c r="BV30" s="250"/>
      <c r="BW30" s="212">
        <f t="shared" si="38"/>
        <v>1655</v>
      </c>
      <c r="BX30" s="145"/>
      <c r="BY30" s="145"/>
      <c r="BZ30" s="144"/>
      <c r="CA30" s="210"/>
      <c r="CB30" s="252"/>
    </row>
    <row r="31" spans="1:80" s="132" customFormat="1" ht="12.75">
      <c r="A31" s="142" t="s">
        <v>76</v>
      </c>
      <c r="B31" s="141"/>
      <c r="C31" s="208">
        <v>0.2</v>
      </c>
      <c r="D31" s="118">
        <v>0.2</v>
      </c>
      <c r="E31" s="209">
        <v>0.2</v>
      </c>
      <c r="F31" s="210">
        <f t="shared" si="22"/>
        <v>0</v>
      </c>
      <c r="G31" s="288">
        <f t="shared" si="0"/>
        <v>100</v>
      </c>
      <c r="H31" s="250">
        <f t="shared" si="40"/>
        <v>100</v>
      </c>
      <c r="I31" s="211">
        <v>203.7</v>
      </c>
      <c r="J31" s="118">
        <v>152.6</v>
      </c>
      <c r="K31" s="209">
        <v>105.4</v>
      </c>
      <c r="L31" s="210">
        <f>K31-J31</f>
        <v>-47.19999999999999</v>
      </c>
      <c r="M31" s="251">
        <f>K31/J31%</f>
        <v>69.0694626474443</v>
      </c>
      <c r="N31" s="250">
        <f t="shared" si="24"/>
        <v>51.74275895925381</v>
      </c>
      <c r="O31" s="208">
        <v>203.7</v>
      </c>
      <c r="P31" s="118">
        <v>178.2</v>
      </c>
      <c r="Q31" s="209">
        <v>105.1</v>
      </c>
      <c r="R31" s="210">
        <f t="shared" si="4"/>
        <v>-73.1</v>
      </c>
      <c r="S31" s="251">
        <f>Q31/P31%</f>
        <v>58.978675645342314</v>
      </c>
      <c r="T31" s="250">
        <f t="shared" si="25"/>
        <v>51.59548355424644</v>
      </c>
      <c r="U31" s="208">
        <v>203.7</v>
      </c>
      <c r="V31" s="118">
        <v>101</v>
      </c>
      <c r="W31" s="209">
        <v>98</v>
      </c>
      <c r="X31" s="210">
        <f t="shared" si="6"/>
        <v>-3</v>
      </c>
      <c r="Y31" s="251">
        <f>W31/V31%</f>
        <v>97.02970297029702</v>
      </c>
      <c r="Z31" s="250">
        <f>W31/U31%</f>
        <v>48.10996563573883</v>
      </c>
      <c r="AA31" s="208">
        <v>203.7</v>
      </c>
      <c r="AB31" s="118">
        <v>155.4</v>
      </c>
      <c r="AC31" s="209">
        <v>99.8</v>
      </c>
      <c r="AD31" s="210"/>
      <c r="AE31" s="251">
        <f>AC31/AB31%</f>
        <v>64.22136422136421</v>
      </c>
      <c r="AF31" s="250">
        <f>AC31/AA31%</f>
        <v>48.99361806578302</v>
      </c>
      <c r="AG31" s="208">
        <v>407.2</v>
      </c>
      <c r="AH31" s="118">
        <v>199.7</v>
      </c>
      <c r="AI31" s="209">
        <v>199.7</v>
      </c>
      <c r="AJ31" s="210">
        <f t="shared" si="10"/>
        <v>0</v>
      </c>
      <c r="AK31" s="251"/>
      <c r="AL31" s="250">
        <f t="shared" si="26"/>
        <v>49.04223968565815</v>
      </c>
      <c r="AM31" s="208">
        <v>203.7</v>
      </c>
      <c r="AN31" s="118">
        <v>136.9</v>
      </c>
      <c r="AO31" s="209">
        <v>102</v>
      </c>
      <c r="AP31" s="210">
        <f t="shared" si="12"/>
        <v>-34.900000000000006</v>
      </c>
      <c r="AQ31" s="251">
        <f t="shared" si="41"/>
        <v>74.50693937180424</v>
      </c>
      <c r="AR31" s="250">
        <f t="shared" si="27"/>
        <v>50.07363770250368</v>
      </c>
      <c r="AS31" s="208">
        <v>203.7</v>
      </c>
      <c r="AT31" s="118">
        <v>152.6</v>
      </c>
      <c r="AU31" s="209">
        <v>91.8</v>
      </c>
      <c r="AV31" s="210">
        <f t="shared" si="14"/>
        <v>-60.8</v>
      </c>
      <c r="AW31" s="251">
        <f t="shared" si="42"/>
        <v>60.15727391874181</v>
      </c>
      <c r="AX31" s="250">
        <f t="shared" si="28"/>
        <v>45.06627393225332</v>
      </c>
      <c r="AY31" s="208">
        <v>203.7</v>
      </c>
      <c r="AZ31" s="118">
        <v>87.2</v>
      </c>
      <c r="BA31" s="209">
        <v>127.2</v>
      </c>
      <c r="BB31" s="210">
        <f t="shared" si="16"/>
        <v>40</v>
      </c>
      <c r="BC31" s="251">
        <f>BA31/AZ31%</f>
        <v>145.87155963302752</v>
      </c>
      <c r="BD31" s="250">
        <f t="shared" si="29"/>
        <v>62.444771723122244</v>
      </c>
      <c r="BE31" s="208">
        <v>203.7</v>
      </c>
      <c r="BF31" s="118">
        <v>86.8</v>
      </c>
      <c r="BG31" s="209">
        <v>68.8</v>
      </c>
      <c r="BH31" s="210">
        <f t="shared" si="17"/>
        <v>-18</v>
      </c>
      <c r="BI31" s="251">
        <f>BG31/BF31%</f>
        <v>79.2626728110599</v>
      </c>
      <c r="BJ31" s="250">
        <f t="shared" si="30"/>
        <v>33.775159548355425</v>
      </c>
      <c r="BK31" s="208">
        <v>203.7</v>
      </c>
      <c r="BL31" s="118">
        <v>180.6</v>
      </c>
      <c r="BM31" s="209">
        <v>100</v>
      </c>
      <c r="BN31" s="210">
        <f t="shared" si="19"/>
        <v>-80.6</v>
      </c>
      <c r="BO31" s="251"/>
      <c r="BP31" s="250">
        <f t="shared" si="31"/>
        <v>49.09180166912126</v>
      </c>
      <c r="BQ31" s="231">
        <v>203.7</v>
      </c>
      <c r="BR31" s="118">
        <v>95.1</v>
      </c>
      <c r="BS31" s="209">
        <v>95.1</v>
      </c>
      <c r="BT31" s="210"/>
      <c r="BU31" s="251"/>
      <c r="BV31" s="250">
        <f t="shared" si="33"/>
        <v>46.68630338733431</v>
      </c>
      <c r="BW31" s="212">
        <f t="shared" si="38"/>
        <v>2444.4</v>
      </c>
      <c r="BX31" s="145">
        <f t="shared" si="37"/>
        <v>1526.2999999999997</v>
      </c>
      <c r="BY31" s="145">
        <f t="shared" si="37"/>
        <v>1193.1</v>
      </c>
      <c r="BZ31" s="144">
        <f>BY31-BX31</f>
        <v>-333.1999999999998</v>
      </c>
      <c r="CA31" s="210">
        <f>BY31/BX31%</f>
        <v>78.1694293389242</v>
      </c>
      <c r="CB31" s="252">
        <f t="shared" si="36"/>
        <v>48.8095238095238</v>
      </c>
    </row>
    <row r="32" spans="1:82" s="132" customFormat="1" ht="12.75">
      <c r="A32" s="140" t="s">
        <v>77</v>
      </c>
      <c r="B32" s="141"/>
      <c r="C32" s="208">
        <v>189281.7</v>
      </c>
      <c r="D32" s="118">
        <v>119281.6</v>
      </c>
      <c r="E32" s="209">
        <v>33207.4</v>
      </c>
      <c r="F32" s="210">
        <f t="shared" si="22"/>
        <v>-86074.20000000001</v>
      </c>
      <c r="G32" s="288">
        <f t="shared" si="0"/>
        <v>27.83949913482046</v>
      </c>
      <c r="H32" s="250">
        <f t="shared" si="40"/>
        <v>17.543904138646262</v>
      </c>
      <c r="I32" s="211">
        <v>2258.8</v>
      </c>
      <c r="J32" s="118">
        <v>2066.8</v>
      </c>
      <c r="K32" s="209">
        <v>739.1</v>
      </c>
      <c r="L32" s="210">
        <f t="shared" si="2"/>
        <v>-1327.7000000000003</v>
      </c>
      <c r="M32" s="251">
        <f>K32/J32%</f>
        <v>35.7605960905748</v>
      </c>
      <c r="N32" s="250">
        <f t="shared" si="24"/>
        <v>32.720913759518325</v>
      </c>
      <c r="O32" s="208">
        <v>77796.1</v>
      </c>
      <c r="P32" s="118">
        <v>61742</v>
      </c>
      <c r="Q32" s="209">
        <v>14113.9</v>
      </c>
      <c r="R32" s="210">
        <f t="shared" si="4"/>
        <v>-47628.1</v>
      </c>
      <c r="S32" s="251">
        <f>Q32/P32%</f>
        <v>22.85947977065855</v>
      </c>
      <c r="T32" s="250">
        <f t="shared" si="25"/>
        <v>18.14216908045519</v>
      </c>
      <c r="U32" s="208">
        <v>995.6</v>
      </c>
      <c r="V32" s="118">
        <v>360</v>
      </c>
      <c r="W32" s="209">
        <v>663.5</v>
      </c>
      <c r="X32" s="210">
        <f t="shared" si="6"/>
        <v>303.5</v>
      </c>
      <c r="Y32" s="251">
        <f>W32/V32%</f>
        <v>184.30555555555554</v>
      </c>
      <c r="Z32" s="250">
        <f>W32/U32%</f>
        <v>66.64323021293693</v>
      </c>
      <c r="AA32" s="208">
        <v>4722.3</v>
      </c>
      <c r="AB32" s="118">
        <v>1182</v>
      </c>
      <c r="AC32" s="209">
        <v>2473.2</v>
      </c>
      <c r="AD32" s="210">
        <f t="shared" si="8"/>
        <v>1291.1999999999998</v>
      </c>
      <c r="AE32" s="251">
        <f>AC32/AB32%</f>
        <v>209.23857868020303</v>
      </c>
      <c r="AF32" s="250"/>
      <c r="AG32" s="208">
        <v>22293.7</v>
      </c>
      <c r="AH32" s="118">
        <v>5755.6</v>
      </c>
      <c r="AI32" s="209">
        <v>5755.6</v>
      </c>
      <c r="AJ32" s="210">
        <f t="shared" si="10"/>
        <v>0</v>
      </c>
      <c r="AK32" s="251"/>
      <c r="AL32" s="250">
        <f t="shared" si="26"/>
        <v>25.817159107729985</v>
      </c>
      <c r="AM32" s="208">
        <v>1977.9</v>
      </c>
      <c r="AN32" s="118">
        <v>1409.9</v>
      </c>
      <c r="AO32" s="209">
        <v>1256.2</v>
      </c>
      <c r="AP32" s="210">
        <f t="shared" si="12"/>
        <v>-153.70000000000005</v>
      </c>
      <c r="AQ32" s="251"/>
      <c r="AR32" s="250">
        <f t="shared" si="27"/>
        <v>63.51180545022499</v>
      </c>
      <c r="AS32" s="208">
        <v>18206.4</v>
      </c>
      <c r="AT32" s="118">
        <v>18074.1</v>
      </c>
      <c r="AU32" s="209">
        <v>1683.9</v>
      </c>
      <c r="AV32" s="210">
        <f t="shared" si="14"/>
        <v>-16390.199999999997</v>
      </c>
      <c r="AW32" s="251">
        <f t="shared" si="42"/>
        <v>9.316646472023505</v>
      </c>
      <c r="AX32" s="250">
        <f t="shared" si="28"/>
        <v>9.248945425784338</v>
      </c>
      <c r="AY32" s="208">
        <v>3660.3</v>
      </c>
      <c r="AZ32" s="118">
        <v>983.3</v>
      </c>
      <c r="BA32" s="209">
        <v>1029.4</v>
      </c>
      <c r="BB32" s="210">
        <f t="shared" si="16"/>
        <v>46.100000000000136</v>
      </c>
      <c r="BC32" s="251">
        <f>BA32/AZ32%</f>
        <v>104.68829451845826</v>
      </c>
      <c r="BD32" s="250">
        <f t="shared" si="29"/>
        <v>28.123377865202308</v>
      </c>
      <c r="BE32" s="208">
        <v>1344.3</v>
      </c>
      <c r="BF32" s="118">
        <v>633.5</v>
      </c>
      <c r="BG32" s="209">
        <v>361.8</v>
      </c>
      <c r="BH32" s="210">
        <f t="shared" si="17"/>
        <v>-271.7</v>
      </c>
      <c r="BI32" s="251">
        <f>BG32/BF32%</f>
        <v>57.111286503551696</v>
      </c>
      <c r="BJ32" s="250">
        <f t="shared" si="30"/>
        <v>26.913635349252402</v>
      </c>
      <c r="BK32" s="208">
        <v>35017.5</v>
      </c>
      <c r="BL32" s="118">
        <v>3977</v>
      </c>
      <c r="BM32" s="209">
        <v>2423.6</v>
      </c>
      <c r="BN32" s="210">
        <f t="shared" si="19"/>
        <v>-1553.4</v>
      </c>
      <c r="BO32" s="251"/>
      <c r="BP32" s="250">
        <f t="shared" si="31"/>
        <v>6.921110873134861</v>
      </c>
      <c r="BQ32" s="208">
        <v>67256.9</v>
      </c>
      <c r="BR32" s="118">
        <v>11455.5</v>
      </c>
      <c r="BS32" s="209">
        <v>11455.5</v>
      </c>
      <c r="BT32" s="210"/>
      <c r="BU32" s="251"/>
      <c r="BV32" s="250">
        <f t="shared" si="33"/>
        <v>17.032453175807984</v>
      </c>
      <c r="BW32" s="212">
        <f t="shared" si="38"/>
        <v>424811.5</v>
      </c>
      <c r="BX32" s="145">
        <f t="shared" si="37"/>
        <v>226921.30000000002</v>
      </c>
      <c r="BY32" s="145">
        <f t="shared" si="37"/>
        <v>75163.1</v>
      </c>
      <c r="BZ32" s="144">
        <f>BY32-BX32</f>
        <v>-151758.2</v>
      </c>
      <c r="CA32" s="210">
        <f>BY32/BX32%</f>
        <v>33.12298140368489</v>
      </c>
      <c r="CB32" s="252">
        <f t="shared" si="36"/>
        <v>17.693282785423655</v>
      </c>
      <c r="CC32" s="232"/>
      <c r="CD32" s="232"/>
    </row>
    <row r="33" spans="1:82" s="132" customFormat="1" ht="12.75">
      <c r="A33" s="140" t="s">
        <v>78</v>
      </c>
      <c r="B33" s="141"/>
      <c r="C33" s="208">
        <v>324</v>
      </c>
      <c r="D33" s="118">
        <v>324</v>
      </c>
      <c r="E33" s="209">
        <v>323.9</v>
      </c>
      <c r="F33" s="210">
        <f>E33-D33</f>
        <v>-0.10000000000002274</v>
      </c>
      <c r="G33" s="288">
        <f t="shared" si="0"/>
        <v>99.96913580246913</v>
      </c>
      <c r="H33" s="250">
        <f t="shared" si="40"/>
        <v>99.96913580246913</v>
      </c>
      <c r="I33" s="211"/>
      <c r="J33" s="118"/>
      <c r="K33" s="209"/>
      <c r="L33" s="210">
        <f t="shared" si="2"/>
        <v>0</v>
      </c>
      <c r="M33" s="251"/>
      <c r="N33" s="250"/>
      <c r="O33" s="208"/>
      <c r="P33" s="118"/>
      <c r="Q33" s="209"/>
      <c r="R33" s="210">
        <f t="shared" si="4"/>
        <v>0</v>
      </c>
      <c r="S33" s="251"/>
      <c r="T33" s="250"/>
      <c r="U33" s="208"/>
      <c r="V33" s="118"/>
      <c r="W33" s="209"/>
      <c r="X33" s="210">
        <f t="shared" si="6"/>
        <v>0</v>
      </c>
      <c r="Y33" s="251"/>
      <c r="Z33" s="250"/>
      <c r="AA33" s="208"/>
      <c r="AB33" s="118"/>
      <c r="AC33" s="209"/>
      <c r="AD33" s="210">
        <f t="shared" si="8"/>
        <v>0</v>
      </c>
      <c r="AE33" s="251"/>
      <c r="AF33" s="250"/>
      <c r="AG33" s="208">
        <v>240</v>
      </c>
      <c r="AH33" s="118">
        <v>271.8</v>
      </c>
      <c r="AI33" s="209">
        <v>271.8</v>
      </c>
      <c r="AJ33" s="210">
        <f t="shared" si="10"/>
        <v>0</v>
      </c>
      <c r="AK33" s="251"/>
      <c r="AL33" s="250">
        <f t="shared" si="26"/>
        <v>113.25000000000001</v>
      </c>
      <c r="AM33" s="208"/>
      <c r="AN33" s="118"/>
      <c r="AO33" s="209"/>
      <c r="AP33" s="210">
        <f t="shared" si="12"/>
        <v>0</v>
      </c>
      <c r="AQ33" s="251"/>
      <c r="AR33" s="250"/>
      <c r="AS33" s="208">
        <v>40</v>
      </c>
      <c r="AT33" s="118">
        <v>40</v>
      </c>
      <c r="AU33" s="209">
        <v>40</v>
      </c>
      <c r="AV33" s="210">
        <f t="shared" si="14"/>
        <v>0</v>
      </c>
      <c r="AW33" s="251">
        <f t="shared" si="42"/>
        <v>100</v>
      </c>
      <c r="AX33" s="250">
        <f t="shared" si="28"/>
        <v>100</v>
      </c>
      <c r="AY33" s="208"/>
      <c r="AZ33" s="118"/>
      <c r="BA33" s="209"/>
      <c r="BB33" s="210"/>
      <c r="BC33" s="251"/>
      <c r="BD33" s="250"/>
      <c r="BE33" s="208"/>
      <c r="BF33" s="118"/>
      <c r="BG33" s="209"/>
      <c r="BH33" s="210"/>
      <c r="BI33" s="251"/>
      <c r="BJ33" s="250"/>
      <c r="BK33" s="208"/>
      <c r="BL33" s="118"/>
      <c r="BM33" s="209"/>
      <c r="BN33" s="210"/>
      <c r="BO33" s="251"/>
      <c r="BP33" s="250"/>
      <c r="BQ33" s="208"/>
      <c r="BR33" s="118"/>
      <c r="BS33" s="209"/>
      <c r="BT33" s="210"/>
      <c r="BU33" s="251"/>
      <c r="BV33" s="250"/>
      <c r="BW33" s="212">
        <f t="shared" si="38"/>
        <v>604</v>
      </c>
      <c r="BX33" s="226">
        <f t="shared" si="37"/>
        <v>635.8</v>
      </c>
      <c r="BY33" s="226">
        <f t="shared" si="37"/>
        <v>635.7</v>
      </c>
      <c r="BZ33" s="210"/>
      <c r="CA33" s="251"/>
      <c r="CB33" s="265">
        <f t="shared" si="36"/>
        <v>105.24834437086093</v>
      </c>
      <c r="CC33" s="232"/>
      <c r="CD33" s="232"/>
    </row>
    <row r="34" spans="1:82" s="238" customFormat="1" ht="13.5" thickBot="1">
      <c r="A34" s="233" t="s">
        <v>79</v>
      </c>
      <c r="B34" s="234"/>
      <c r="C34" s="235">
        <f>C9+C28</f>
        <v>354876.7</v>
      </c>
      <c r="D34" s="235">
        <f>D9+D28</f>
        <v>233979.19999999998</v>
      </c>
      <c r="E34" s="236">
        <f>E9+E28</f>
        <v>123477</v>
      </c>
      <c r="F34" s="204">
        <f>E34-D34</f>
        <v>-110502.19999999998</v>
      </c>
      <c r="G34" s="206">
        <f t="shared" si="0"/>
        <v>52.77263961924821</v>
      </c>
      <c r="H34" s="266">
        <f t="shared" si="40"/>
        <v>34.79433842796667</v>
      </c>
      <c r="I34" s="235">
        <f>I9+I28</f>
        <v>17266.1</v>
      </c>
      <c r="J34" s="235">
        <f>J9+J28</f>
        <v>15438.900000000001</v>
      </c>
      <c r="K34" s="236">
        <f>K9+K28</f>
        <v>10957.3</v>
      </c>
      <c r="L34" s="204">
        <f>K34-J34</f>
        <v>-4481.600000000002</v>
      </c>
      <c r="M34" s="206">
        <f>K34/J34%</f>
        <v>70.97202520904986</v>
      </c>
      <c r="N34" s="266">
        <f t="shared" si="24"/>
        <v>63.46134911763514</v>
      </c>
      <c r="O34" s="235">
        <f>O9+O28</f>
        <v>108661.20000000001</v>
      </c>
      <c r="P34" s="236">
        <f>P9+P28</f>
        <v>88746.4</v>
      </c>
      <c r="Q34" s="236">
        <f>Q9+Q28</f>
        <v>36179.5</v>
      </c>
      <c r="R34" s="204">
        <f>Q34-P34</f>
        <v>-52566.899999999994</v>
      </c>
      <c r="S34" s="206">
        <f>Q34/P34%</f>
        <v>40.76728746180127</v>
      </c>
      <c r="T34" s="266">
        <f t="shared" si="25"/>
        <v>33.29569340298101</v>
      </c>
      <c r="U34" s="235">
        <f>U9+U28</f>
        <v>12099.599999999999</v>
      </c>
      <c r="V34" s="236">
        <f>V9+V28</f>
        <v>6414.9</v>
      </c>
      <c r="W34" s="236">
        <f>W9+W28</f>
        <v>6191.499999999999</v>
      </c>
      <c r="X34" s="204">
        <f>W34-V34</f>
        <v>-223.40000000000055</v>
      </c>
      <c r="Y34" s="206">
        <f>W34/V34%</f>
        <v>96.51748273550638</v>
      </c>
      <c r="Z34" s="266">
        <f>W34/U34%</f>
        <v>51.17111309464776</v>
      </c>
      <c r="AA34" s="235">
        <f>AA9+AA28</f>
        <v>16948.3</v>
      </c>
      <c r="AB34" s="236">
        <f>AB9+AB28</f>
        <v>10126.3</v>
      </c>
      <c r="AC34" s="236">
        <f>AC9+AC28</f>
        <v>9061.9</v>
      </c>
      <c r="AD34" s="204">
        <f>AC34-AB34</f>
        <v>-1064.3999999999996</v>
      </c>
      <c r="AE34" s="206">
        <f>AC34/AB34%</f>
        <v>89.48875699910135</v>
      </c>
      <c r="AF34" s="266">
        <f>AC34/AA34%</f>
        <v>53.46789943534159</v>
      </c>
      <c r="AG34" s="235">
        <f>AG9+AG28</f>
        <v>41233.90000000001</v>
      </c>
      <c r="AH34" s="236">
        <f>AH9+AH28</f>
        <v>16824.2</v>
      </c>
      <c r="AI34" s="236">
        <f>AI9+AI28</f>
        <v>16400.100000000002</v>
      </c>
      <c r="AJ34" s="204">
        <f>AI34-AH34</f>
        <v>-424.09999999999854</v>
      </c>
      <c r="AK34" s="206">
        <f>AI34/AH34%</f>
        <v>97.47922635251602</v>
      </c>
      <c r="AL34" s="266">
        <f t="shared" si="26"/>
        <v>39.77334183766269</v>
      </c>
      <c r="AM34" s="235">
        <f>AM9+AM28</f>
        <v>15473.399999999998</v>
      </c>
      <c r="AN34" s="236">
        <f>AN9+AN28</f>
        <v>11370.199999999999</v>
      </c>
      <c r="AO34" s="236">
        <f>AO9+AO28</f>
        <v>9403.9</v>
      </c>
      <c r="AP34" s="204">
        <f>AO34-AN34</f>
        <v>-1966.2999999999993</v>
      </c>
      <c r="AQ34" s="206">
        <f t="shared" si="41"/>
        <v>82.70654869747234</v>
      </c>
      <c r="AR34" s="266">
        <f t="shared" si="27"/>
        <v>60.7746196698851</v>
      </c>
      <c r="AS34" s="235">
        <f>AS9+AS28</f>
        <v>32102.8</v>
      </c>
      <c r="AT34" s="236">
        <f>AT9+AT28</f>
        <v>30413.399999999998</v>
      </c>
      <c r="AU34" s="236">
        <f>AU9+AU28</f>
        <v>16525</v>
      </c>
      <c r="AV34" s="204">
        <f>AU34-AT34</f>
        <v>-13888.399999999998</v>
      </c>
      <c r="AW34" s="206">
        <f t="shared" si="42"/>
        <v>54.33460251073541</v>
      </c>
      <c r="AX34" s="266">
        <f t="shared" si="28"/>
        <v>51.475260724921185</v>
      </c>
      <c r="AY34" s="235">
        <f>AY9+AY28</f>
        <v>16546.5</v>
      </c>
      <c r="AZ34" s="236">
        <f>AZ9+AZ28</f>
        <v>8177.4000000000015</v>
      </c>
      <c r="BA34" s="236">
        <f>BA9+BA28</f>
        <v>9382.5</v>
      </c>
      <c r="BB34" s="204">
        <f>BA34-AZ34</f>
        <v>1205.0999999999985</v>
      </c>
      <c r="BC34" s="206">
        <f>BA34/AZ34%</f>
        <v>114.73695795729692</v>
      </c>
      <c r="BD34" s="266">
        <f t="shared" si="29"/>
        <v>56.703834647810716</v>
      </c>
      <c r="BE34" s="235">
        <f>BE9+BE28</f>
        <v>9454.5</v>
      </c>
      <c r="BF34" s="236">
        <f>BF9+BF28</f>
        <v>5097.000000000001</v>
      </c>
      <c r="BG34" s="236">
        <f>BG9+BG28</f>
        <v>5131</v>
      </c>
      <c r="BH34" s="204">
        <f>BG34-BF34</f>
        <v>33.99999999999909</v>
      </c>
      <c r="BI34" s="206">
        <f>BG34/BF34%</f>
        <v>100.66705905434569</v>
      </c>
      <c r="BJ34" s="266">
        <f t="shared" si="30"/>
        <v>54.2704532233328</v>
      </c>
      <c r="BK34" s="235">
        <f>BK9+BK28</f>
        <v>55785.9</v>
      </c>
      <c r="BL34" s="236">
        <f>BL9+BL28</f>
        <v>20507.399999999998</v>
      </c>
      <c r="BM34" s="236">
        <f>BM9+BM28</f>
        <v>14949.300000000001</v>
      </c>
      <c r="BN34" s="204">
        <f>BM34-BL34</f>
        <v>-5558.099999999997</v>
      </c>
      <c r="BO34" s="206">
        <f>BM34/BL34%</f>
        <v>72.89710055882269</v>
      </c>
      <c r="BP34" s="266">
        <f t="shared" si="31"/>
        <v>26.797631659612914</v>
      </c>
      <c r="BQ34" s="235">
        <f>BQ9+BQ28</f>
        <v>98747.29999999999</v>
      </c>
      <c r="BR34" s="236">
        <f>BR9+BR28</f>
        <v>30659.3</v>
      </c>
      <c r="BS34" s="236">
        <f>BS9+BS28</f>
        <v>28502.1</v>
      </c>
      <c r="BT34" s="204">
        <f>BS34-BR34</f>
        <v>-2157.2000000000007</v>
      </c>
      <c r="BU34" s="206">
        <f>BS34/BR34%</f>
        <v>92.96396199521841</v>
      </c>
      <c r="BV34" s="266">
        <f t="shared" si="33"/>
        <v>28.863675259981797</v>
      </c>
      <c r="BW34" s="236">
        <f t="shared" si="38"/>
        <v>779196.2</v>
      </c>
      <c r="BX34" s="236">
        <f t="shared" si="37"/>
        <v>477754.6000000001</v>
      </c>
      <c r="BY34" s="236">
        <f t="shared" si="37"/>
        <v>286161.1</v>
      </c>
      <c r="BZ34" s="204">
        <f>BY34-BX34</f>
        <v>-191593.50000000012</v>
      </c>
      <c r="CA34" s="204">
        <f>BY34/BX34%</f>
        <v>59.89708942624517</v>
      </c>
      <c r="CB34" s="267">
        <f t="shared" si="36"/>
        <v>36.72516626749463</v>
      </c>
      <c r="CC34" s="237"/>
      <c r="CD34" s="237"/>
    </row>
    <row r="35" spans="3:82" ht="12.75"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 t="s">
        <v>83</v>
      </c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</row>
    <row r="36" spans="3:82" ht="12.75"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</row>
    <row r="37" spans="3:82" ht="12.75"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</row>
    <row r="38" spans="3:82" ht="12.75"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</row>
    <row r="39" spans="3:82" ht="15"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268"/>
      <c r="BY39" s="139"/>
      <c r="BZ39" s="139"/>
      <c r="CA39" s="139"/>
      <c r="CB39" s="139"/>
      <c r="CC39" s="139"/>
      <c r="CD39" s="139"/>
    </row>
    <row r="40" spans="3:82" ht="12.75"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</row>
    <row r="41" spans="3:82" ht="12.75"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</row>
    <row r="42" spans="3:82" ht="12.75"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</row>
    <row r="43" ht="12.75">
      <c r="BX43" s="269"/>
    </row>
    <row r="44" ht="12.75">
      <c r="BX44" s="269"/>
    </row>
  </sheetData>
  <sheetProtection/>
  <mergeCells count="40">
    <mergeCell ref="BQ6:BU6"/>
    <mergeCell ref="BW6:CA6"/>
    <mergeCell ref="D3:Q3"/>
    <mergeCell ref="C6:H6"/>
    <mergeCell ref="I6:M6"/>
    <mergeCell ref="O6:S6"/>
    <mergeCell ref="U6:Y6"/>
    <mergeCell ref="AA6:AE6"/>
    <mergeCell ref="AG6:AK6"/>
    <mergeCell ref="AM6:AQ6"/>
    <mergeCell ref="AS6:AW6"/>
    <mergeCell ref="AY6:BC6"/>
    <mergeCell ref="BE6:BI6"/>
    <mergeCell ref="BK6:BO6"/>
    <mergeCell ref="D7:E7"/>
    <mergeCell ref="F7:G7"/>
    <mergeCell ref="J7:K7"/>
    <mergeCell ref="L7:M7"/>
    <mergeCell ref="P7:Q7"/>
    <mergeCell ref="R7:S7"/>
    <mergeCell ref="V7:W7"/>
    <mergeCell ref="X7:Y7"/>
    <mergeCell ref="AB7:AC7"/>
    <mergeCell ref="AD7:AE7"/>
    <mergeCell ref="AH7:AI7"/>
    <mergeCell ref="AJ7:AK7"/>
    <mergeCell ref="AN7:AO7"/>
    <mergeCell ref="AP7:AQ7"/>
    <mergeCell ref="AT7:AU7"/>
    <mergeCell ref="AV7:AW7"/>
    <mergeCell ref="AZ7:BA7"/>
    <mergeCell ref="BB7:BC7"/>
    <mergeCell ref="BX7:BY7"/>
    <mergeCell ref="BZ7:CA7"/>
    <mergeCell ref="BF7:BG7"/>
    <mergeCell ref="BH7:BI7"/>
    <mergeCell ref="BL7:BM7"/>
    <mergeCell ref="BN7:BO7"/>
    <mergeCell ref="BR7:BS7"/>
    <mergeCell ref="BT7:BU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6">
      <selection activeCell="A42" sqref="A42:IV45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289" t="s">
        <v>107</v>
      </c>
      <c r="B1" s="290"/>
      <c r="C1" s="291"/>
      <c r="D1" s="291"/>
      <c r="E1" s="291"/>
      <c r="F1" s="291"/>
      <c r="G1" s="292"/>
      <c r="H1" s="292"/>
      <c r="I1" s="292"/>
      <c r="J1" s="292"/>
      <c r="K1" s="292"/>
      <c r="L1" s="292"/>
    </row>
    <row r="2" spans="1:12" ht="15.75">
      <c r="A2" s="293" t="s">
        <v>159</v>
      </c>
      <c r="B2" s="290"/>
      <c r="C2" s="291"/>
      <c r="D2" s="291"/>
      <c r="E2" s="291"/>
      <c r="F2" s="291"/>
      <c r="G2" s="292"/>
      <c r="H2" s="292"/>
      <c r="I2" s="292"/>
      <c r="J2" s="292"/>
      <c r="K2" s="292"/>
      <c r="L2" s="292"/>
    </row>
    <row r="3" spans="1:12" ht="16.5" thickBot="1">
      <c r="A3" s="294"/>
      <c r="B3" s="295"/>
      <c r="C3" s="461"/>
      <c r="D3" s="461"/>
      <c r="E3" s="461"/>
      <c r="F3" s="461"/>
      <c r="G3" s="296"/>
      <c r="H3" s="296"/>
      <c r="I3" s="297"/>
      <c r="J3" s="297"/>
      <c r="K3" s="296"/>
      <c r="L3" s="298" t="s">
        <v>108</v>
      </c>
    </row>
    <row r="4" spans="1:14" ht="15">
      <c r="A4" s="299"/>
      <c r="B4" s="300" t="s">
        <v>109</v>
      </c>
      <c r="C4" s="462" t="s">
        <v>110</v>
      </c>
      <c r="D4" s="463"/>
      <c r="E4" s="463"/>
      <c r="F4" s="464"/>
      <c r="G4" s="468" t="s">
        <v>111</v>
      </c>
      <c r="H4" s="469"/>
      <c r="I4" s="469"/>
      <c r="J4" s="470"/>
      <c r="K4" s="474" t="s">
        <v>112</v>
      </c>
      <c r="L4" s="475"/>
      <c r="M4" s="475"/>
      <c r="N4" s="476"/>
    </row>
    <row r="5" spans="1:14" ht="15">
      <c r="A5" s="301" t="s">
        <v>0</v>
      </c>
      <c r="B5" s="301" t="s">
        <v>113</v>
      </c>
      <c r="C5" s="465"/>
      <c r="D5" s="466"/>
      <c r="E5" s="466"/>
      <c r="F5" s="467"/>
      <c r="G5" s="471"/>
      <c r="H5" s="472"/>
      <c r="I5" s="472"/>
      <c r="J5" s="473"/>
      <c r="K5" s="477"/>
      <c r="L5" s="478"/>
      <c r="M5" s="478"/>
      <c r="N5" s="479"/>
    </row>
    <row r="6" spans="1:14" ht="15">
      <c r="A6" s="301"/>
      <c r="B6" s="301"/>
      <c r="C6" s="302" t="s">
        <v>114</v>
      </c>
      <c r="D6" s="303" t="s">
        <v>115</v>
      </c>
      <c r="E6" s="480" t="s">
        <v>116</v>
      </c>
      <c r="F6" s="481"/>
      <c r="G6" s="302" t="s">
        <v>114</v>
      </c>
      <c r="H6" s="304" t="s">
        <v>115</v>
      </c>
      <c r="I6" s="480" t="s">
        <v>116</v>
      </c>
      <c r="J6" s="481"/>
      <c r="K6" s="302" t="s">
        <v>114</v>
      </c>
      <c r="L6" s="303" t="s">
        <v>115</v>
      </c>
      <c r="M6" s="482" t="s">
        <v>116</v>
      </c>
      <c r="N6" s="483"/>
    </row>
    <row r="7" spans="1:14" ht="12.75">
      <c r="A7" s="305"/>
      <c r="B7" s="305" t="s">
        <v>117</v>
      </c>
      <c r="C7" s="306" t="s">
        <v>118</v>
      </c>
      <c r="D7" s="307"/>
      <c r="E7" s="305" t="s">
        <v>19</v>
      </c>
      <c r="F7" s="308" t="s">
        <v>20</v>
      </c>
      <c r="G7" s="306" t="s">
        <v>118</v>
      </c>
      <c r="H7" s="309"/>
      <c r="I7" s="305" t="s">
        <v>19</v>
      </c>
      <c r="J7" s="308" t="s">
        <v>20</v>
      </c>
      <c r="K7" s="306" t="s">
        <v>118</v>
      </c>
      <c r="L7" s="307"/>
      <c r="M7" s="310" t="s">
        <v>19</v>
      </c>
      <c r="N7" s="311" t="s">
        <v>20</v>
      </c>
    </row>
    <row r="8" spans="1:14" ht="15.75">
      <c r="A8" s="202" t="s">
        <v>119</v>
      </c>
      <c r="B8" s="312" t="s">
        <v>120</v>
      </c>
      <c r="C8" s="313">
        <f>G8+K8</f>
        <v>732469.2999999999</v>
      </c>
      <c r="D8" s="314">
        <f>H8+L8</f>
        <v>365105.9</v>
      </c>
      <c r="E8" s="314">
        <f aca="true" t="shared" si="0" ref="E8:E20">D8-C8</f>
        <v>-367363.3999999999</v>
      </c>
      <c r="F8" s="315">
        <f aca="true" t="shared" si="1" ref="F8:F18">D8/C8%</f>
        <v>49.845897978249745</v>
      </c>
      <c r="G8" s="316">
        <f>SUM(G9:G20)+G27+G28+G29+G32+G33</f>
        <v>532717.1</v>
      </c>
      <c r="H8" s="314">
        <f>SUM(H9:H20)+H27+H28+H29+H32+H33</f>
        <v>267429.10000000003</v>
      </c>
      <c r="I8" s="314">
        <f>H8-G8</f>
        <v>-265287.99999999994</v>
      </c>
      <c r="J8" s="317">
        <f>H8/G8%</f>
        <v>50.20096032209217</v>
      </c>
      <c r="K8" s="316">
        <f>SUM(K9:K20)+K27+K28+K29+K32+K33</f>
        <v>199752.19999999995</v>
      </c>
      <c r="L8" s="314">
        <f>SUM(L9:L20)+L27+L28+L29+L32+L33</f>
        <v>97676.80000000002</v>
      </c>
      <c r="M8" s="314">
        <f>L8-K8</f>
        <v>-102075.39999999994</v>
      </c>
      <c r="N8" s="315">
        <f>L8/K8%</f>
        <v>48.89898584346007</v>
      </c>
    </row>
    <row r="9" spans="1:14" ht="15">
      <c r="A9" s="318" t="s">
        <v>62</v>
      </c>
      <c r="B9" s="319" t="s">
        <v>121</v>
      </c>
      <c r="C9" s="320">
        <f aca="true" t="shared" si="2" ref="C9:D26">G9+K9</f>
        <v>483964.1</v>
      </c>
      <c r="D9" s="321">
        <f t="shared" si="2"/>
        <v>235550.9</v>
      </c>
      <c r="E9" s="321">
        <f t="shared" si="0"/>
        <v>-248413.19999999998</v>
      </c>
      <c r="F9" s="322">
        <f t="shared" si="1"/>
        <v>48.67115143457955</v>
      </c>
      <c r="G9" s="323">
        <v>403538.1</v>
      </c>
      <c r="H9" s="324">
        <v>193545</v>
      </c>
      <c r="I9" s="325">
        <f aca="true" t="shared" si="3" ref="I9:I40">H9-G9</f>
        <v>-209993.09999999998</v>
      </c>
      <c r="J9" s="326">
        <f aca="true" t="shared" si="4" ref="J9:J40">H9/G9%</f>
        <v>47.962013995704496</v>
      </c>
      <c r="K9" s="323">
        <v>80426</v>
      </c>
      <c r="L9" s="327">
        <v>42005.9</v>
      </c>
      <c r="M9" s="325">
        <f aca="true" t="shared" si="5" ref="M9:M40">L9-K9</f>
        <v>-38420.1</v>
      </c>
      <c r="N9" s="326">
        <f aca="true" t="shared" si="6" ref="N9:N40">L9/K9%</f>
        <v>52.22925422127173</v>
      </c>
    </row>
    <row r="10" spans="1:14" ht="15">
      <c r="A10" s="318" t="s">
        <v>63</v>
      </c>
      <c r="B10" s="319"/>
      <c r="C10" s="320">
        <f t="shared" si="2"/>
        <v>40250.2</v>
      </c>
      <c r="D10" s="321">
        <f t="shared" si="2"/>
        <v>19433.399999999998</v>
      </c>
      <c r="E10" s="321">
        <f t="shared" si="0"/>
        <v>-20816.8</v>
      </c>
      <c r="F10" s="322">
        <f t="shared" si="1"/>
        <v>48.28149922236411</v>
      </c>
      <c r="G10" s="323">
        <v>36490.5</v>
      </c>
      <c r="H10" s="324">
        <v>17618.1</v>
      </c>
      <c r="I10" s="325">
        <f t="shared" si="3"/>
        <v>-18872.4</v>
      </c>
      <c r="J10" s="326">
        <f t="shared" si="4"/>
        <v>48.28133349775969</v>
      </c>
      <c r="K10" s="323">
        <v>3759.7</v>
      </c>
      <c r="L10" s="327">
        <v>1815.3</v>
      </c>
      <c r="M10" s="325">
        <f t="shared" si="5"/>
        <v>-1944.3999999999999</v>
      </c>
      <c r="N10" s="326">
        <f t="shared" si="6"/>
        <v>48.283107694762876</v>
      </c>
    </row>
    <row r="11" spans="1:14" ht="25.5" hidden="1">
      <c r="A11" s="328" t="s">
        <v>24</v>
      </c>
      <c r="B11" s="319" t="s">
        <v>122</v>
      </c>
      <c r="C11" s="320">
        <f t="shared" si="2"/>
        <v>0</v>
      </c>
      <c r="D11" s="321">
        <f t="shared" si="2"/>
        <v>0</v>
      </c>
      <c r="E11" s="321">
        <f t="shared" si="0"/>
        <v>0</v>
      </c>
      <c r="F11" s="322" t="e">
        <f t="shared" si="1"/>
        <v>#DIV/0!</v>
      </c>
      <c r="G11" s="323"/>
      <c r="H11" s="324"/>
      <c r="I11" s="325">
        <f t="shared" si="3"/>
        <v>0</v>
      </c>
      <c r="J11" s="326" t="e">
        <f t="shared" si="4"/>
        <v>#DIV/0!</v>
      </c>
      <c r="K11" s="323"/>
      <c r="L11" s="327"/>
      <c r="M11" s="325">
        <f t="shared" si="5"/>
        <v>0</v>
      </c>
      <c r="N11" s="326" t="e">
        <f t="shared" si="6"/>
        <v>#DIV/0!</v>
      </c>
    </row>
    <row r="12" spans="1:14" ht="25.5">
      <c r="A12" s="328" t="s">
        <v>25</v>
      </c>
      <c r="B12" s="319" t="s">
        <v>123</v>
      </c>
      <c r="C12" s="320">
        <f t="shared" si="2"/>
        <v>17040.2</v>
      </c>
      <c r="D12" s="321">
        <f t="shared" si="2"/>
        <v>12387.4</v>
      </c>
      <c r="E12" s="321">
        <f t="shared" si="0"/>
        <v>-4652.800000000001</v>
      </c>
      <c r="F12" s="322">
        <f t="shared" si="1"/>
        <v>72.69515616013895</v>
      </c>
      <c r="G12" s="323">
        <v>17040.2</v>
      </c>
      <c r="H12" s="324">
        <v>12387.4</v>
      </c>
      <c r="I12" s="325">
        <f t="shared" si="3"/>
        <v>-4652.800000000001</v>
      </c>
      <c r="J12" s="326">
        <f t="shared" si="4"/>
        <v>72.69515616013895</v>
      </c>
      <c r="K12" s="323"/>
      <c r="L12" s="327"/>
      <c r="M12" s="325">
        <f t="shared" si="5"/>
        <v>0</v>
      </c>
      <c r="N12" s="326"/>
    </row>
    <row r="13" spans="1:14" ht="15">
      <c r="A13" s="328" t="s">
        <v>26</v>
      </c>
      <c r="B13" s="319" t="s">
        <v>124</v>
      </c>
      <c r="C13" s="320">
        <f t="shared" si="2"/>
        <v>6629.4</v>
      </c>
      <c r="D13" s="321">
        <f t="shared" si="2"/>
        <v>4466.5</v>
      </c>
      <c r="E13" s="321">
        <f t="shared" si="0"/>
        <v>-2162.8999999999996</v>
      </c>
      <c r="F13" s="322">
        <f t="shared" si="1"/>
        <v>67.374121338281</v>
      </c>
      <c r="G13" s="323">
        <v>2936.2</v>
      </c>
      <c r="H13" s="324">
        <v>2639.2</v>
      </c>
      <c r="I13" s="325">
        <f t="shared" si="3"/>
        <v>-297</v>
      </c>
      <c r="J13" s="326">
        <f t="shared" si="4"/>
        <v>89.88488522580205</v>
      </c>
      <c r="K13" s="323">
        <v>3693.2</v>
      </c>
      <c r="L13" s="327">
        <v>1827.3</v>
      </c>
      <c r="M13" s="325">
        <f t="shared" si="5"/>
        <v>-1865.8999999999999</v>
      </c>
      <c r="N13" s="326">
        <f t="shared" si="6"/>
        <v>49.477417957326985</v>
      </c>
    </row>
    <row r="14" spans="1:14" ht="25.5">
      <c r="A14" s="328" t="s">
        <v>28</v>
      </c>
      <c r="B14" s="319"/>
      <c r="C14" s="320">
        <f t="shared" si="2"/>
        <v>2062.3</v>
      </c>
      <c r="D14" s="321">
        <f t="shared" si="2"/>
        <v>2065.4</v>
      </c>
      <c r="E14" s="321"/>
      <c r="F14" s="322"/>
      <c r="G14" s="323">
        <v>2062.3</v>
      </c>
      <c r="H14" s="324">
        <v>2065.4</v>
      </c>
      <c r="I14" s="325">
        <f t="shared" si="3"/>
        <v>3.099999999999909</v>
      </c>
      <c r="J14" s="326">
        <f t="shared" si="4"/>
        <v>100.15031760655579</v>
      </c>
      <c r="K14" s="323"/>
      <c r="L14" s="327"/>
      <c r="M14" s="325">
        <f t="shared" si="5"/>
        <v>0</v>
      </c>
      <c r="N14" s="326"/>
    </row>
    <row r="15" spans="1:14" ht="15">
      <c r="A15" s="328" t="s">
        <v>64</v>
      </c>
      <c r="B15" s="329" t="s">
        <v>125</v>
      </c>
      <c r="C15" s="320">
        <f t="shared" si="2"/>
        <v>8592.2</v>
      </c>
      <c r="D15" s="321">
        <f t="shared" si="2"/>
        <v>1028.4</v>
      </c>
      <c r="E15" s="321">
        <f t="shared" si="0"/>
        <v>-7563.800000000001</v>
      </c>
      <c r="F15" s="322">
        <f t="shared" si="1"/>
        <v>11.968995135122553</v>
      </c>
      <c r="G15" s="323"/>
      <c r="H15" s="324"/>
      <c r="I15" s="325">
        <f t="shared" si="3"/>
        <v>0</v>
      </c>
      <c r="J15" s="326"/>
      <c r="K15" s="323">
        <v>8592.2</v>
      </c>
      <c r="L15" s="327">
        <v>1028.4</v>
      </c>
      <c r="M15" s="325">
        <f t="shared" si="5"/>
        <v>-7563.800000000001</v>
      </c>
      <c r="N15" s="326">
        <f t="shared" si="6"/>
        <v>11.968995135122553</v>
      </c>
    </row>
    <row r="16" spans="1:14" ht="15">
      <c r="A16" s="328" t="s">
        <v>103</v>
      </c>
      <c r="B16" s="329"/>
      <c r="C16" s="320"/>
      <c r="D16" s="321"/>
      <c r="E16" s="321"/>
      <c r="F16" s="322"/>
      <c r="G16" s="323">
        <v>27143.1</v>
      </c>
      <c r="H16" s="324">
        <v>5168.2</v>
      </c>
      <c r="I16" s="325"/>
      <c r="J16" s="326"/>
      <c r="K16" s="323">
        <v>32276.1</v>
      </c>
      <c r="L16" s="327">
        <v>7426.9</v>
      </c>
      <c r="M16" s="325"/>
      <c r="N16" s="326"/>
    </row>
    <row r="17" spans="1:14" ht="15">
      <c r="A17" s="330" t="s">
        <v>65</v>
      </c>
      <c r="B17" s="329" t="s">
        <v>126</v>
      </c>
      <c r="C17" s="320">
        <f t="shared" si="2"/>
        <v>55406.2</v>
      </c>
      <c r="D17" s="321">
        <f t="shared" si="2"/>
        <v>25174.7</v>
      </c>
      <c r="E17" s="321">
        <f t="shared" si="0"/>
        <v>-30231.499999999996</v>
      </c>
      <c r="F17" s="322">
        <f t="shared" si="1"/>
        <v>45.43661178712852</v>
      </c>
      <c r="G17" s="323"/>
      <c r="H17" s="324"/>
      <c r="I17" s="325">
        <f t="shared" si="3"/>
        <v>0</v>
      </c>
      <c r="J17" s="326"/>
      <c r="K17" s="323">
        <v>55406.2</v>
      </c>
      <c r="L17" s="327">
        <v>25174.7</v>
      </c>
      <c r="M17" s="325">
        <f t="shared" si="5"/>
        <v>-30231.499999999996</v>
      </c>
      <c r="N17" s="326">
        <f t="shared" si="6"/>
        <v>45.43661178712852</v>
      </c>
    </row>
    <row r="18" spans="1:14" ht="15">
      <c r="A18" s="331" t="s">
        <v>127</v>
      </c>
      <c r="B18" s="332" t="s">
        <v>128</v>
      </c>
      <c r="C18" s="320">
        <f t="shared" si="2"/>
        <v>16985.3</v>
      </c>
      <c r="D18" s="321">
        <f t="shared" si="2"/>
        <v>8468.199999999999</v>
      </c>
      <c r="E18" s="321">
        <f t="shared" si="0"/>
        <v>-8517.1</v>
      </c>
      <c r="F18" s="322">
        <f t="shared" si="1"/>
        <v>49.85605199790407</v>
      </c>
      <c r="G18" s="323">
        <v>16557.6</v>
      </c>
      <c r="H18" s="324">
        <v>8337.4</v>
      </c>
      <c r="I18" s="325">
        <f t="shared" si="3"/>
        <v>-8220.199999999999</v>
      </c>
      <c r="J18" s="326">
        <f t="shared" si="4"/>
        <v>50.353916026477265</v>
      </c>
      <c r="K18" s="333">
        <v>427.7</v>
      </c>
      <c r="L18" s="327">
        <v>130.8</v>
      </c>
      <c r="M18" s="325">
        <f t="shared" si="5"/>
        <v>-296.9</v>
      </c>
      <c r="N18" s="326">
        <f t="shared" si="6"/>
        <v>30.582183773673137</v>
      </c>
    </row>
    <row r="19" spans="1:14" ht="15">
      <c r="A19" s="328" t="s">
        <v>129</v>
      </c>
      <c r="B19" s="332" t="s">
        <v>130</v>
      </c>
      <c r="C19" s="320">
        <f t="shared" si="2"/>
        <v>0</v>
      </c>
      <c r="D19" s="321">
        <f t="shared" si="2"/>
        <v>0</v>
      </c>
      <c r="E19" s="321">
        <f t="shared" si="0"/>
        <v>0</v>
      </c>
      <c r="F19" s="322"/>
      <c r="G19" s="323"/>
      <c r="H19" s="334"/>
      <c r="I19" s="325"/>
      <c r="J19" s="326"/>
      <c r="K19" s="333"/>
      <c r="L19" s="325"/>
      <c r="M19" s="325">
        <f t="shared" si="5"/>
        <v>0</v>
      </c>
      <c r="N19" s="326"/>
    </row>
    <row r="20" spans="1:14" ht="38.25">
      <c r="A20" s="335" t="s">
        <v>131</v>
      </c>
      <c r="B20" s="336" t="s">
        <v>132</v>
      </c>
      <c r="C20" s="320">
        <f>G20+K20-16.1</f>
        <v>35242.200000000004</v>
      </c>
      <c r="D20" s="321">
        <f t="shared" si="2"/>
        <v>19757.199999999997</v>
      </c>
      <c r="E20" s="321">
        <f t="shared" si="0"/>
        <v>-15485.000000000007</v>
      </c>
      <c r="F20" s="322">
        <f>D20/C20%</f>
        <v>56.061199357588336</v>
      </c>
      <c r="G20" s="337">
        <f>SUM(G21:G26)</f>
        <v>24266.9</v>
      </c>
      <c r="H20" s="325">
        <f>SUM(H21:H26)</f>
        <v>13659.699999999999</v>
      </c>
      <c r="I20" s="325">
        <f t="shared" si="3"/>
        <v>-10607.200000000003</v>
      </c>
      <c r="J20" s="326">
        <f t="shared" si="4"/>
        <v>56.28943128294095</v>
      </c>
      <c r="K20" s="323">
        <f>SUM(K21:K26)</f>
        <v>10991.4</v>
      </c>
      <c r="L20" s="325">
        <f>SUM(L21:L26)</f>
        <v>6097.5</v>
      </c>
      <c r="M20" s="325">
        <f t="shared" si="5"/>
        <v>-4893.9</v>
      </c>
      <c r="N20" s="326">
        <f t="shared" si="6"/>
        <v>55.475189693760576</v>
      </c>
    </row>
    <row r="21" spans="1:14" ht="25.5" hidden="1">
      <c r="A21" s="338" t="s">
        <v>34</v>
      </c>
      <c r="B21" s="339"/>
      <c r="C21" s="340">
        <f t="shared" si="2"/>
        <v>0</v>
      </c>
      <c r="D21" s="341">
        <f t="shared" si="2"/>
        <v>0</v>
      </c>
      <c r="E21" s="341"/>
      <c r="F21" s="342"/>
      <c r="G21" s="340"/>
      <c r="H21" s="343"/>
      <c r="I21" s="341">
        <f t="shared" si="3"/>
        <v>0</v>
      </c>
      <c r="J21" s="342"/>
      <c r="K21" s="340"/>
      <c r="L21" s="341"/>
      <c r="M21" s="341">
        <f t="shared" si="5"/>
        <v>0</v>
      </c>
      <c r="N21" s="342"/>
    </row>
    <row r="22" spans="1:14" ht="25.5">
      <c r="A22" s="338" t="s">
        <v>92</v>
      </c>
      <c r="B22" s="339"/>
      <c r="C22" s="340"/>
      <c r="D22" s="341"/>
      <c r="E22" s="341"/>
      <c r="F22" s="342"/>
      <c r="G22" s="340"/>
      <c r="H22" s="343"/>
      <c r="I22" s="341"/>
      <c r="J22" s="342"/>
      <c r="K22" s="340"/>
      <c r="L22" s="341"/>
      <c r="M22" s="341"/>
      <c r="N22" s="342"/>
    </row>
    <row r="23" spans="1:14" ht="15">
      <c r="A23" s="338" t="s">
        <v>133</v>
      </c>
      <c r="B23" s="344" t="s">
        <v>134</v>
      </c>
      <c r="C23" s="340">
        <f t="shared" si="2"/>
        <v>25292.9</v>
      </c>
      <c r="D23" s="341">
        <f t="shared" si="2"/>
        <v>12979.599999999999</v>
      </c>
      <c r="E23" s="341">
        <f aca="true" t="shared" si="7" ref="E23:E39">D23-C23</f>
        <v>-12313.300000000003</v>
      </c>
      <c r="F23" s="342">
        <f>D23/C23%</f>
        <v>51.31716805902051</v>
      </c>
      <c r="G23" s="340">
        <v>17969.4</v>
      </c>
      <c r="H23" s="343">
        <v>9841.3</v>
      </c>
      <c r="I23" s="341">
        <f t="shared" si="3"/>
        <v>-8128.100000000002</v>
      </c>
      <c r="J23" s="342">
        <f t="shared" si="4"/>
        <v>54.766992776609115</v>
      </c>
      <c r="K23" s="340">
        <v>7323.5</v>
      </c>
      <c r="L23" s="341">
        <v>3138.3</v>
      </c>
      <c r="M23" s="341">
        <f t="shared" si="5"/>
        <v>-4185.2</v>
      </c>
      <c r="N23" s="342">
        <f t="shared" si="6"/>
        <v>42.85246125486448</v>
      </c>
    </row>
    <row r="24" spans="1:14" ht="15">
      <c r="A24" s="345" t="s">
        <v>36</v>
      </c>
      <c r="B24" s="344" t="s">
        <v>135</v>
      </c>
      <c r="C24" s="340">
        <f t="shared" si="2"/>
        <v>7342.200000000001</v>
      </c>
      <c r="D24" s="341">
        <f t="shared" si="2"/>
        <v>5381</v>
      </c>
      <c r="E24" s="341">
        <f t="shared" si="7"/>
        <v>-1961.2000000000007</v>
      </c>
      <c r="F24" s="342">
        <f>D24/C24%</f>
        <v>73.28866007463702</v>
      </c>
      <c r="G24" s="340">
        <v>5772.6</v>
      </c>
      <c r="H24" s="343">
        <v>3454.1</v>
      </c>
      <c r="I24" s="341">
        <f t="shared" si="3"/>
        <v>-2318.5000000000005</v>
      </c>
      <c r="J24" s="342">
        <f t="shared" si="4"/>
        <v>59.836122371201874</v>
      </c>
      <c r="K24" s="340">
        <v>1569.6</v>
      </c>
      <c r="L24" s="341">
        <v>1926.9</v>
      </c>
      <c r="M24" s="341">
        <f t="shared" si="5"/>
        <v>357.3000000000002</v>
      </c>
      <c r="N24" s="342">
        <f t="shared" si="6"/>
        <v>122.76376146788992</v>
      </c>
    </row>
    <row r="25" spans="1:14" ht="25.5">
      <c r="A25" s="345" t="s">
        <v>136</v>
      </c>
      <c r="B25" s="339" t="s">
        <v>137</v>
      </c>
      <c r="C25" s="340">
        <f t="shared" si="2"/>
        <v>125.10000000000001</v>
      </c>
      <c r="D25" s="341">
        <f t="shared" si="2"/>
        <v>118.3</v>
      </c>
      <c r="E25" s="341">
        <f t="shared" si="7"/>
        <v>-6.800000000000011</v>
      </c>
      <c r="F25" s="342">
        <f>D25/C25%</f>
        <v>94.56434852118305</v>
      </c>
      <c r="G25" s="340">
        <v>38.7</v>
      </c>
      <c r="H25" s="343">
        <v>57.9</v>
      </c>
      <c r="I25" s="341">
        <f t="shared" si="3"/>
        <v>19.199999999999996</v>
      </c>
      <c r="J25" s="342">
        <f t="shared" si="4"/>
        <v>149.6124031007752</v>
      </c>
      <c r="K25" s="346">
        <v>86.4</v>
      </c>
      <c r="L25" s="341">
        <v>60.4</v>
      </c>
      <c r="M25" s="341">
        <f t="shared" si="5"/>
        <v>-26.000000000000007</v>
      </c>
      <c r="N25" s="342">
        <f t="shared" si="6"/>
        <v>69.90740740740739</v>
      </c>
    </row>
    <row r="26" spans="1:14" ht="25.5">
      <c r="A26" s="347" t="s">
        <v>138</v>
      </c>
      <c r="B26" s="339"/>
      <c r="C26" s="340">
        <f t="shared" si="2"/>
        <v>2498.1</v>
      </c>
      <c r="D26" s="341">
        <f t="shared" si="2"/>
        <v>1278.3</v>
      </c>
      <c r="E26" s="341">
        <f>D26-C26</f>
        <v>-1219.8</v>
      </c>
      <c r="F26" s="342">
        <f>D26/C26%</f>
        <v>51.17088987630599</v>
      </c>
      <c r="G26" s="340">
        <v>486.2</v>
      </c>
      <c r="H26" s="343">
        <v>306.4</v>
      </c>
      <c r="I26" s="341">
        <f t="shared" si="3"/>
        <v>-179.8</v>
      </c>
      <c r="J26" s="342">
        <f t="shared" si="4"/>
        <v>63.019333607568896</v>
      </c>
      <c r="K26" s="348">
        <v>2011.9</v>
      </c>
      <c r="L26" s="341">
        <v>971.9</v>
      </c>
      <c r="M26" s="341">
        <f t="shared" si="5"/>
        <v>-1040</v>
      </c>
      <c r="N26" s="342">
        <f t="shared" si="6"/>
        <v>48.30756995874546</v>
      </c>
    </row>
    <row r="27" spans="1:14" ht="25.5">
      <c r="A27" s="328" t="s">
        <v>39</v>
      </c>
      <c r="B27" s="319" t="s">
        <v>139</v>
      </c>
      <c r="C27" s="320">
        <f aca="true" t="shared" si="8" ref="C27:D33">G27+K27</f>
        <v>1939.1</v>
      </c>
      <c r="D27" s="321">
        <f t="shared" si="8"/>
        <v>1901.5</v>
      </c>
      <c r="E27" s="321">
        <f t="shared" si="7"/>
        <v>-37.59999999999991</v>
      </c>
      <c r="F27" s="322">
        <f>D27/C27%</f>
        <v>98.06095611366099</v>
      </c>
      <c r="G27" s="323">
        <v>1939.1</v>
      </c>
      <c r="H27" s="334">
        <v>1901.5</v>
      </c>
      <c r="I27" s="325">
        <f t="shared" si="3"/>
        <v>-37.59999999999991</v>
      </c>
      <c r="J27" s="326">
        <f t="shared" si="4"/>
        <v>98.06095611366099</v>
      </c>
      <c r="K27" s="349"/>
      <c r="L27" s="325"/>
      <c r="M27" s="325">
        <f t="shared" si="5"/>
        <v>0</v>
      </c>
      <c r="N27" s="326"/>
    </row>
    <row r="28" spans="1:14" ht="15">
      <c r="A28" s="328" t="s">
        <v>140</v>
      </c>
      <c r="B28" s="319"/>
      <c r="C28" s="320">
        <f t="shared" si="8"/>
        <v>2488.2000000000003</v>
      </c>
      <c r="D28" s="321">
        <f t="shared" si="8"/>
        <v>2915.8999999999996</v>
      </c>
      <c r="E28" s="321">
        <f t="shared" si="7"/>
        <v>427.69999999999936</v>
      </c>
      <c r="F28" s="322"/>
      <c r="G28" s="323">
        <v>103.4</v>
      </c>
      <c r="H28" s="324">
        <v>572.2</v>
      </c>
      <c r="I28" s="325">
        <f t="shared" si="3"/>
        <v>468.80000000000007</v>
      </c>
      <c r="J28" s="326">
        <f t="shared" si="4"/>
        <v>553.384912959381</v>
      </c>
      <c r="K28" s="349">
        <v>2384.8</v>
      </c>
      <c r="L28" s="325">
        <v>2343.7</v>
      </c>
      <c r="M28" s="325">
        <f t="shared" si="5"/>
        <v>-41.100000000000364</v>
      </c>
      <c r="N28" s="326"/>
    </row>
    <row r="29" spans="1:14" ht="25.5">
      <c r="A29" s="350" t="s">
        <v>42</v>
      </c>
      <c r="B29" s="332" t="s">
        <v>141</v>
      </c>
      <c r="C29" s="320">
        <f t="shared" si="8"/>
        <v>1711.9</v>
      </c>
      <c r="D29" s="321">
        <f t="shared" si="8"/>
        <v>15981.099999999999</v>
      </c>
      <c r="E29" s="321">
        <f t="shared" si="7"/>
        <v>14269.199999999999</v>
      </c>
      <c r="F29" s="322"/>
      <c r="G29" s="337">
        <f>SUM(G30:G31)</f>
        <v>521.9</v>
      </c>
      <c r="H29" s="325">
        <f>SUM(H30:H31)</f>
        <v>7164.3</v>
      </c>
      <c r="I29" s="325">
        <f t="shared" si="3"/>
        <v>6642.400000000001</v>
      </c>
      <c r="J29" s="326"/>
      <c r="K29" s="337">
        <f>SUM(K30:K31)</f>
        <v>1190</v>
      </c>
      <c r="L29" s="337">
        <f>SUM(L30:L31)</f>
        <v>8816.8</v>
      </c>
      <c r="M29" s="325">
        <f t="shared" si="5"/>
        <v>7626.799999999999</v>
      </c>
      <c r="N29" s="326"/>
    </row>
    <row r="30" spans="1:14" ht="15">
      <c r="A30" s="351" t="s">
        <v>43</v>
      </c>
      <c r="B30" s="352" t="s">
        <v>142</v>
      </c>
      <c r="C30" s="353">
        <f t="shared" si="8"/>
        <v>711.9</v>
      </c>
      <c r="D30" s="354">
        <f t="shared" si="8"/>
        <v>1084.1</v>
      </c>
      <c r="E30" s="341">
        <f t="shared" si="7"/>
        <v>372.19999999999993</v>
      </c>
      <c r="F30" s="342"/>
      <c r="G30" s="353">
        <v>521.9</v>
      </c>
      <c r="H30" s="355">
        <v>780.7</v>
      </c>
      <c r="I30" s="341">
        <f t="shared" si="3"/>
        <v>258.80000000000007</v>
      </c>
      <c r="J30" s="342"/>
      <c r="K30" s="353">
        <v>190</v>
      </c>
      <c r="L30" s="354">
        <v>303.4</v>
      </c>
      <c r="M30" s="341">
        <f t="shared" si="5"/>
        <v>113.39999999999998</v>
      </c>
      <c r="N30" s="326"/>
    </row>
    <row r="31" spans="1:14" ht="15">
      <c r="A31" s="351" t="s">
        <v>73</v>
      </c>
      <c r="B31" s="352" t="s">
        <v>143</v>
      </c>
      <c r="C31" s="356">
        <f t="shared" si="8"/>
        <v>1000</v>
      </c>
      <c r="D31" s="354">
        <f t="shared" si="8"/>
        <v>14897</v>
      </c>
      <c r="E31" s="341">
        <f t="shared" si="7"/>
        <v>13897</v>
      </c>
      <c r="F31" s="342"/>
      <c r="G31" s="353"/>
      <c r="H31" s="355">
        <v>6383.6</v>
      </c>
      <c r="I31" s="341">
        <f t="shared" si="3"/>
        <v>6383.6</v>
      </c>
      <c r="J31" s="342"/>
      <c r="K31" s="353">
        <v>1000</v>
      </c>
      <c r="L31" s="354">
        <v>8513.4</v>
      </c>
      <c r="M31" s="341">
        <f t="shared" si="5"/>
        <v>7513.4</v>
      </c>
      <c r="N31" s="326"/>
    </row>
    <row r="32" spans="1:14" ht="15">
      <c r="A32" s="350" t="s">
        <v>144</v>
      </c>
      <c r="B32" s="332" t="s">
        <v>145</v>
      </c>
      <c r="C32" s="357">
        <f t="shared" si="8"/>
        <v>610.4</v>
      </c>
      <c r="D32" s="321">
        <f>H32+L32-7.5</f>
        <v>2725.8999999999996</v>
      </c>
      <c r="E32" s="321">
        <f t="shared" si="7"/>
        <v>2115.4999999999995</v>
      </c>
      <c r="F32" s="322">
        <f>D32/C32%</f>
        <v>446.5760157273918</v>
      </c>
      <c r="G32" s="323">
        <v>117.8</v>
      </c>
      <c r="H32" s="324">
        <v>2370.7</v>
      </c>
      <c r="I32" s="325">
        <f t="shared" si="3"/>
        <v>2252.8999999999996</v>
      </c>
      <c r="J32" s="326">
        <f t="shared" si="4"/>
        <v>2012.478777589134</v>
      </c>
      <c r="K32" s="358">
        <v>492.6</v>
      </c>
      <c r="L32" s="325">
        <v>362.7</v>
      </c>
      <c r="M32" s="325">
        <f t="shared" si="5"/>
        <v>-129.90000000000003</v>
      </c>
      <c r="N32" s="326">
        <f t="shared" si="6"/>
        <v>73.62971985383678</v>
      </c>
    </row>
    <row r="33" spans="1:14" ht="15">
      <c r="A33" s="331" t="s">
        <v>46</v>
      </c>
      <c r="B33" s="332" t="s">
        <v>146</v>
      </c>
      <c r="C33" s="320">
        <f t="shared" si="8"/>
        <v>112.3</v>
      </c>
      <c r="D33" s="321">
        <f t="shared" si="8"/>
        <v>646.8</v>
      </c>
      <c r="E33" s="321">
        <f t="shared" si="7"/>
        <v>534.5</v>
      </c>
      <c r="F33" s="322"/>
      <c r="G33" s="323"/>
      <c r="H33" s="324"/>
      <c r="I33" s="325">
        <f t="shared" si="3"/>
        <v>0</v>
      </c>
      <c r="J33" s="326"/>
      <c r="K33" s="349">
        <v>112.3</v>
      </c>
      <c r="L33" s="325">
        <v>646.8</v>
      </c>
      <c r="M33" s="325">
        <f t="shared" si="5"/>
        <v>534.5</v>
      </c>
      <c r="N33" s="326"/>
    </row>
    <row r="34" spans="1:14" ht="15.75">
      <c r="A34" s="359" t="s">
        <v>74</v>
      </c>
      <c r="B34" s="360"/>
      <c r="C34" s="361">
        <f>SUM(C35:C39)</f>
        <v>3558241.1</v>
      </c>
      <c r="D34" s="362">
        <f>SUM(D35:D39)</f>
        <v>2104381.9000000004</v>
      </c>
      <c r="E34" s="363">
        <f t="shared" si="7"/>
        <v>-1453859.1999999997</v>
      </c>
      <c r="F34" s="364">
        <f>D34/C34%</f>
        <v>59.14107113202645</v>
      </c>
      <c r="G34" s="361">
        <f>SUM(G35:G39)</f>
        <v>3417247.4000000004</v>
      </c>
      <c r="H34" s="365">
        <f>SUM(H35:H39)</f>
        <v>2000234</v>
      </c>
      <c r="I34" s="363">
        <f t="shared" si="3"/>
        <v>-1417013.4000000004</v>
      </c>
      <c r="J34" s="364">
        <f t="shared" si="4"/>
        <v>58.533485167038236</v>
      </c>
      <c r="K34" s="366">
        <f>SUM(K35:K39)</f>
        <v>579444</v>
      </c>
      <c r="L34" s="362">
        <f>SUM(L35:L39)</f>
        <v>188484.30000000002</v>
      </c>
      <c r="M34" s="363">
        <f t="shared" si="5"/>
        <v>-390959.69999999995</v>
      </c>
      <c r="N34" s="364">
        <f t="shared" si="6"/>
        <v>32.52847557313563</v>
      </c>
    </row>
    <row r="35" spans="1:14" ht="15">
      <c r="A35" s="118" t="s">
        <v>75</v>
      </c>
      <c r="B35" s="367" t="s">
        <v>147</v>
      </c>
      <c r="C35" s="320">
        <f>G35+K35</f>
        <v>508420.69999999995</v>
      </c>
      <c r="D35" s="321">
        <f>H35+L35</f>
        <v>349290.8</v>
      </c>
      <c r="E35" s="321">
        <f t="shared" si="7"/>
        <v>-159129.89999999997</v>
      </c>
      <c r="F35" s="322">
        <f>D35/C35%</f>
        <v>68.70113667677182</v>
      </c>
      <c r="G35" s="368">
        <v>358491.6</v>
      </c>
      <c r="H35" s="369">
        <v>239453.4</v>
      </c>
      <c r="I35" s="325">
        <f t="shared" si="3"/>
        <v>-119038.19999999998</v>
      </c>
      <c r="J35" s="326">
        <f t="shared" si="4"/>
        <v>66.7947031394878</v>
      </c>
      <c r="K35" s="368">
        <v>149929.1</v>
      </c>
      <c r="L35" s="370">
        <v>109837.4</v>
      </c>
      <c r="M35" s="325">
        <f t="shared" si="5"/>
        <v>-40091.70000000001</v>
      </c>
      <c r="N35" s="326">
        <f t="shared" si="6"/>
        <v>73.2595606856841</v>
      </c>
    </row>
    <row r="36" spans="1:14" ht="15">
      <c r="A36" s="118" t="s">
        <v>148</v>
      </c>
      <c r="B36" s="367" t="s">
        <v>149</v>
      </c>
      <c r="C36" s="320">
        <f>G36+K36</f>
        <v>723781.9</v>
      </c>
      <c r="D36" s="320">
        <f>H36+1655</f>
        <v>217237.7</v>
      </c>
      <c r="E36" s="321">
        <f t="shared" si="7"/>
        <v>-506544.2</v>
      </c>
      <c r="F36" s="322">
        <f>D36/C36%</f>
        <v>30.01424876748092</v>
      </c>
      <c r="G36" s="368">
        <v>722126.9</v>
      </c>
      <c r="H36" s="369">
        <v>215582.7</v>
      </c>
      <c r="I36" s="325">
        <f t="shared" si="3"/>
        <v>-506544.2</v>
      </c>
      <c r="J36" s="326">
        <f t="shared" si="4"/>
        <v>29.853852556939785</v>
      </c>
      <c r="K36" s="368">
        <v>1655</v>
      </c>
      <c r="L36" s="370">
        <v>1655</v>
      </c>
      <c r="M36" s="325">
        <f t="shared" si="5"/>
        <v>0</v>
      </c>
      <c r="N36" s="326"/>
    </row>
    <row r="37" spans="1:14" ht="15">
      <c r="A37" s="118" t="s">
        <v>150</v>
      </c>
      <c r="B37" s="367" t="s">
        <v>151</v>
      </c>
      <c r="C37" s="320">
        <f>G37+K37</f>
        <v>2066592.0999999999</v>
      </c>
      <c r="D37" s="320">
        <f>H37+L37</f>
        <v>1364164.9000000001</v>
      </c>
      <c r="E37" s="321">
        <f t="shared" si="7"/>
        <v>-702427.1999999997</v>
      </c>
      <c r="F37" s="322">
        <f>D37/C37%</f>
        <v>66.0103607286605</v>
      </c>
      <c r="G37" s="371">
        <v>2064147.7</v>
      </c>
      <c r="H37" s="372">
        <v>1362971.8</v>
      </c>
      <c r="I37" s="325">
        <f t="shared" si="3"/>
        <v>-701175.8999999999</v>
      </c>
      <c r="J37" s="326">
        <f t="shared" si="4"/>
        <v>66.03073026218037</v>
      </c>
      <c r="K37" s="371">
        <v>2444.4</v>
      </c>
      <c r="L37" s="373">
        <v>1193.1</v>
      </c>
      <c r="M37" s="325">
        <f t="shared" si="5"/>
        <v>-1251.3000000000002</v>
      </c>
      <c r="N37" s="326"/>
    </row>
    <row r="38" spans="1:14" ht="15">
      <c r="A38" s="374" t="s">
        <v>77</v>
      </c>
      <c r="B38" s="367"/>
      <c r="C38" s="320">
        <v>258572.4</v>
      </c>
      <c r="D38" s="321">
        <v>172779.5</v>
      </c>
      <c r="E38" s="321">
        <f t="shared" si="7"/>
        <v>-85792.9</v>
      </c>
      <c r="F38" s="322">
        <f>D38/C38%</f>
        <v>66.82055006644174</v>
      </c>
      <c r="G38" s="371">
        <v>272211.2</v>
      </c>
      <c r="H38" s="372">
        <v>181952.8</v>
      </c>
      <c r="I38" s="325">
        <f t="shared" si="3"/>
        <v>-90258.40000000002</v>
      </c>
      <c r="J38" s="326">
        <f t="shared" si="4"/>
        <v>66.84251052124232</v>
      </c>
      <c r="K38" s="371">
        <v>424811.5</v>
      </c>
      <c r="L38" s="373">
        <v>75163.1</v>
      </c>
      <c r="M38" s="325">
        <f t="shared" si="5"/>
        <v>-349648.4</v>
      </c>
      <c r="N38" s="326">
        <f t="shared" si="6"/>
        <v>17.693282785423655</v>
      </c>
    </row>
    <row r="39" spans="1:14" ht="15">
      <c r="A39" s="374" t="s">
        <v>78</v>
      </c>
      <c r="B39" s="367" t="s">
        <v>152</v>
      </c>
      <c r="C39" s="320">
        <f>G39+K39</f>
        <v>874</v>
      </c>
      <c r="D39" s="321">
        <f>H39+L39</f>
        <v>909</v>
      </c>
      <c r="E39" s="321">
        <f t="shared" si="7"/>
        <v>35</v>
      </c>
      <c r="F39" s="322"/>
      <c r="G39" s="371">
        <v>270</v>
      </c>
      <c r="H39" s="372">
        <v>273.3</v>
      </c>
      <c r="I39" s="325">
        <f t="shared" si="3"/>
        <v>3.3000000000000114</v>
      </c>
      <c r="J39" s="326">
        <f t="shared" si="4"/>
        <v>101.22222222222221</v>
      </c>
      <c r="K39" s="375">
        <v>604</v>
      </c>
      <c r="L39" s="373">
        <v>635.7</v>
      </c>
      <c r="M39" s="325">
        <f t="shared" si="5"/>
        <v>31.700000000000045</v>
      </c>
      <c r="N39" s="326"/>
    </row>
    <row r="40" spans="1:14" ht="16.5" thickBot="1">
      <c r="A40" s="376" t="s">
        <v>79</v>
      </c>
      <c r="B40" s="377"/>
      <c r="C40" s="378">
        <f>C8+C34</f>
        <v>4290710.4</v>
      </c>
      <c r="D40" s="378">
        <f>D8+D34</f>
        <v>2469487.8000000003</v>
      </c>
      <c r="E40" s="379">
        <f>D40-C40</f>
        <v>-1821222.6</v>
      </c>
      <c r="F40" s="380">
        <f>D40/C40%</f>
        <v>57.554287513787926</v>
      </c>
      <c r="G40" s="378">
        <f>G8+G34</f>
        <v>3949964.5000000005</v>
      </c>
      <c r="H40" s="378">
        <f>H8+H34</f>
        <v>2267663.1</v>
      </c>
      <c r="I40" s="379">
        <f t="shared" si="3"/>
        <v>-1682301.4000000004</v>
      </c>
      <c r="J40" s="380">
        <f t="shared" si="4"/>
        <v>57.40970836573341</v>
      </c>
      <c r="K40" s="378">
        <f>K8+K34</f>
        <v>779196.2</v>
      </c>
      <c r="L40" s="378">
        <f>L8+L34</f>
        <v>286161.10000000003</v>
      </c>
      <c r="M40" s="379">
        <f t="shared" si="5"/>
        <v>-493035.0999999999</v>
      </c>
      <c r="N40" s="380">
        <f t="shared" si="6"/>
        <v>36.725166267494636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2021-08-30T13:02:35Z</dcterms:modified>
  <cp:category/>
  <cp:version/>
  <cp:contentType/>
  <cp:contentStatus/>
</cp:coreProperties>
</file>